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mc:AlternateContent xmlns:mc="http://schemas.openxmlformats.org/markup-compatibility/2006">
    <mc:Choice Requires="x15">
      <x15ac:absPath xmlns:x15ac="http://schemas.microsoft.com/office/spreadsheetml/2010/11/ac" url="E:\CPS TEUSAQUILLO\2022\E) SASI AGRICULTURA URBANA\"/>
    </mc:Choice>
  </mc:AlternateContent>
  <xr:revisionPtr revIDLastSave="0" documentId="13_ncr:1_{CB9FBAE5-08A5-4343-96DB-9CC6118DD949}" xr6:coauthVersionLast="47" xr6:coauthVersionMax="47" xr10:uidLastSave="{00000000-0000-0000-0000-000000000000}"/>
  <bookViews>
    <workbookView xWindow="-120" yWindow="-120" windowWidth="20730" windowHeight="11160" xr2:uid="{00000000-000D-0000-FFFF-FFFF00000000}"/>
  </bookViews>
  <sheets>
    <sheet name="2087"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P52" i="2" l="1"/>
  <c r="U5" i="2"/>
  <c r="Q50" i="2"/>
  <c r="AX17" i="2"/>
  <c r="AX21" i="2"/>
  <c r="AX13" i="2"/>
  <c r="AX11" i="2"/>
  <c r="AX12" i="2"/>
  <c r="AX15" i="2"/>
  <c r="AX16" i="2"/>
  <c r="AX18" i="2"/>
  <c r="AX19" i="2"/>
  <c r="AX20" i="2"/>
  <c r="AX22" i="2"/>
  <c r="AX23" i="2"/>
  <c r="AX24" i="2"/>
  <c r="AX25" i="2"/>
  <c r="AX26" i="2"/>
  <c r="AX27" i="2"/>
  <c r="AX28" i="2"/>
  <c r="AX29" i="2"/>
  <c r="AX30" i="2"/>
  <c r="AX31" i="2"/>
  <c r="AX32" i="2"/>
  <c r="AX33" i="2"/>
  <c r="AX34" i="2"/>
  <c r="AX35" i="2"/>
  <c r="AX36" i="2"/>
  <c r="AX37" i="2"/>
  <c r="AX38" i="2"/>
  <c r="AX39" i="2"/>
  <c r="AX40" i="2"/>
  <c r="AX41" i="2"/>
  <c r="AX42" i="2"/>
  <c r="AX43" i="2"/>
  <c r="AX44" i="2"/>
  <c r="AX14" i="2"/>
  <c r="N49" i="2"/>
  <c r="J49" i="2"/>
  <c r="K49" i="2"/>
  <c r="H50" i="2"/>
  <c r="G50" i="2"/>
  <c r="H49" i="2"/>
  <c r="G49" i="2"/>
  <c r="AU12" i="2"/>
  <c r="AU13" i="2"/>
  <c r="AU14" i="2"/>
  <c r="AU15" i="2"/>
  <c r="AU16" i="2"/>
  <c r="AU17" i="2"/>
  <c r="AU18" i="2"/>
  <c r="AU19" i="2"/>
  <c r="AU20" i="2"/>
  <c r="AU21" i="2"/>
  <c r="AU22" i="2"/>
  <c r="AU23" i="2"/>
  <c r="AU24" i="2"/>
  <c r="AU25" i="2"/>
  <c r="AU26" i="2"/>
  <c r="AU27" i="2"/>
  <c r="AU28" i="2"/>
  <c r="AU29" i="2"/>
  <c r="AU30" i="2"/>
  <c r="AU31" i="2"/>
  <c r="AU32" i="2"/>
  <c r="AU33" i="2"/>
  <c r="AU34" i="2"/>
  <c r="AU35" i="2"/>
  <c r="AU36" i="2"/>
  <c r="AU37" i="2"/>
  <c r="AU38" i="2"/>
  <c r="AU39" i="2"/>
  <c r="AU40" i="2"/>
  <c r="AU41" i="2"/>
  <c r="AU42" i="2"/>
  <c r="AU43" i="2"/>
  <c r="AU44" i="2"/>
  <c r="AT12" i="2"/>
  <c r="AT13" i="2"/>
  <c r="AT14" i="2"/>
  <c r="AT15" i="2"/>
  <c r="AT16" i="2"/>
  <c r="AT17" i="2"/>
  <c r="AT18" i="2"/>
  <c r="AT19" i="2"/>
  <c r="AT20" i="2"/>
  <c r="AT21" i="2"/>
  <c r="AT22" i="2"/>
  <c r="AT23" i="2"/>
  <c r="AT24" i="2"/>
  <c r="AT25" i="2"/>
  <c r="AT26" i="2"/>
  <c r="AT27" i="2"/>
  <c r="AT28" i="2"/>
  <c r="AT29" i="2"/>
  <c r="AT30" i="2"/>
  <c r="AT31" i="2"/>
  <c r="AT32" i="2"/>
  <c r="AT33" i="2"/>
  <c r="AT34" i="2"/>
  <c r="AT35" i="2"/>
  <c r="AT36" i="2"/>
  <c r="AT37" i="2"/>
  <c r="AT38" i="2"/>
  <c r="AT39" i="2"/>
  <c r="AT40" i="2"/>
  <c r="AT41" i="2"/>
  <c r="AT42" i="2"/>
  <c r="AT43" i="2"/>
  <c r="AT44" i="2"/>
  <c r="AU11" i="2"/>
  <c r="AT11" i="2"/>
  <c r="AR12" i="2"/>
  <c r="AR13" i="2"/>
  <c r="AR14" i="2"/>
  <c r="AR15" i="2"/>
  <c r="AR16" i="2"/>
  <c r="AR17" i="2"/>
  <c r="AR18" i="2"/>
  <c r="AR19" i="2"/>
  <c r="AR20" i="2"/>
  <c r="AR21" i="2"/>
  <c r="AR22" i="2"/>
  <c r="AR23" i="2"/>
  <c r="AR24" i="2"/>
  <c r="AR25" i="2"/>
  <c r="AR26" i="2"/>
  <c r="AR27" i="2"/>
  <c r="AR28" i="2"/>
  <c r="AR29" i="2"/>
  <c r="AR30" i="2"/>
  <c r="AR31" i="2"/>
  <c r="AR32" i="2"/>
  <c r="AR33" i="2"/>
  <c r="AR34" i="2"/>
  <c r="AR35" i="2"/>
  <c r="AR36" i="2"/>
  <c r="AR37" i="2"/>
  <c r="AR38" i="2"/>
  <c r="AR39" i="2"/>
  <c r="AR40" i="2"/>
  <c r="AR41" i="2"/>
  <c r="AR42" i="2"/>
  <c r="AR43" i="2"/>
  <c r="AR44" i="2"/>
  <c r="AQ12" i="2"/>
  <c r="AQ13" i="2"/>
  <c r="AQ14" i="2"/>
  <c r="AQ15" i="2"/>
  <c r="AQ16" i="2"/>
  <c r="AQ17" i="2"/>
  <c r="AQ18" i="2"/>
  <c r="AQ19" i="2"/>
  <c r="AQ20" i="2"/>
  <c r="AQ21" i="2"/>
  <c r="AQ22" i="2"/>
  <c r="AQ23" i="2"/>
  <c r="AQ24" i="2"/>
  <c r="AQ25" i="2"/>
  <c r="AQ26" i="2"/>
  <c r="AQ27" i="2"/>
  <c r="AQ28" i="2"/>
  <c r="AQ29" i="2"/>
  <c r="AQ30" i="2"/>
  <c r="AQ31" i="2"/>
  <c r="AQ32" i="2"/>
  <c r="AQ33" i="2"/>
  <c r="AQ34" i="2"/>
  <c r="AQ35" i="2"/>
  <c r="AQ36" i="2"/>
  <c r="AQ37" i="2"/>
  <c r="AQ38" i="2"/>
  <c r="AQ39" i="2"/>
  <c r="AQ40" i="2"/>
  <c r="AQ41" i="2"/>
  <c r="AQ42" i="2"/>
  <c r="AQ43" i="2"/>
  <c r="AQ44" i="2"/>
  <c r="AR11" i="2"/>
  <c r="AQ11" i="2"/>
  <c r="AO12" i="2"/>
  <c r="AO13" i="2"/>
  <c r="AO14" i="2"/>
  <c r="AO15" i="2"/>
  <c r="AO16" i="2"/>
  <c r="AO17" i="2"/>
  <c r="AO18" i="2"/>
  <c r="AO19" i="2"/>
  <c r="AO20" i="2"/>
  <c r="AO21" i="2"/>
  <c r="AO22" i="2"/>
  <c r="AO23" i="2"/>
  <c r="AO24" i="2"/>
  <c r="AO25" i="2"/>
  <c r="AO26" i="2"/>
  <c r="AO27" i="2"/>
  <c r="AO28" i="2"/>
  <c r="AO29" i="2"/>
  <c r="AO30" i="2"/>
  <c r="AO31" i="2"/>
  <c r="AO32" i="2"/>
  <c r="AO33" i="2"/>
  <c r="AO34" i="2"/>
  <c r="AO35" i="2"/>
  <c r="AO36" i="2"/>
  <c r="AO37" i="2"/>
  <c r="AO38" i="2"/>
  <c r="AO39" i="2"/>
  <c r="AO40" i="2"/>
  <c r="AO41" i="2"/>
  <c r="AO42" i="2"/>
  <c r="AO43" i="2"/>
  <c r="AO44" i="2"/>
  <c r="AN12" i="2"/>
  <c r="AN13" i="2"/>
  <c r="AN14" i="2"/>
  <c r="AN15" i="2"/>
  <c r="AN16" i="2"/>
  <c r="AN17" i="2"/>
  <c r="AN18" i="2"/>
  <c r="AN19" i="2"/>
  <c r="AN20" i="2"/>
  <c r="AN21" i="2"/>
  <c r="AN22" i="2"/>
  <c r="AN23" i="2"/>
  <c r="AN24" i="2"/>
  <c r="AN25" i="2"/>
  <c r="AN26" i="2"/>
  <c r="AN27" i="2"/>
  <c r="AN28" i="2"/>
  <c r="AN29" i="2"/>
  <c r="AN30" i="2"/>
  <c r="AN31" i="2"/>
  <c r="AN32" i="2"/>
  <c r="AN33" i="2"/>
  <c r="AN34" i="2"/>
  <c r="AN35" i="2"/>
  <c r="AN36" i="2"/>
  <c r="AN37" i="2"/>
  <c r="AN38" i="2"/>
  <c r="AN39" i="2"/>
  <c r="AN40" i="2"/>
  <c r="AN41" i="2"/>
  <c r="AN42" i="2"/>
  <c r="AN43" i="2"/>
  <c r="AN44" i="2"/>
  <c r="AO11" i="2"/>
  <c r="AN11" i="2"/>
  <c r="AL12" i="2"/>
  <c r="AL13" i="2"/>
  <c r="AL14" i="2"/>
  <c r="AL15" i="2"/>
  <c r="AL16" i="2"/>
  <c r="AL17" i="2"/>
  <c r="AL18" i="2"/>
  <c r="AL19" i="2"/>
  <c r="AL20" i="2"/>
  <c r="AL21" i="2"/>
  <c r="AL22" i="2"/>
  <c r="AL23" i="2"/>
  <c r="AL24" i="2"/>
  <c r="AL25" i="2"/>
  <c r="AL26" i="2"/>
  <c r="AL27" i="2"/>
  <c r="AL28" i="2"/>
  <c r="AL29" i="2"/>
  <c r="AL30" i="2"/>
  <c r="AL31" i="2"/>
  <c r="AL32" i="2"/>
  <c r="AL33" i="2"/>
  <c r="AL34" i="2"/>
  <c r="AL35" i="2"/>
  <c r="AL36" i="2"/>
  <c r="AL37" i="2"/>
  <c r="AL38" i="2"/>
  <c r="AL39" i="2"/>
  <c r="AL40" i="2"/>
  <c r="AL41" i="2"/>
  <c r="AL42" i="2"/>
  <c r="AL43" i="2"/>
  <c r="AL44" i="2"/>
  <c r="AK12" i="2"/>
  <c r="AK13" i="2"/>
  <c r="AK14" i="2"/>
  <c r="AK15" i="2"/>
  <c r="AK16" i="2"/>
  <c r="AK17" i="2"/>
  <c r="AK18" i="2"/>
  <c r="AK19" i="2"/>
  <c r="AK20" i="2"/>
  <c r="AK21" i="2"/>
  <c r="AK22" i="2"/>
  <c r="AK23" i="2"/>
  <c r="AK24" i="2"/>
  <c r="AK25" i="2"/>
  <c r="AK26" i="2"/>
  <c r="AK27" i="2"/>
  <c r="AK28" i="2"/>
  <c r="AK29" i="2"/>
  <c r="AK30" i="2"/>
  <c r="AK31" i="2"/>
  <c r="AK32" i="2"/>
  <c r="AK33" i="2"/>
  <c r="AK34" i="2"/>
  <c r="AK35" i="2"/>
  <c r="AK36" i="2"/>
  <c r="AK37" i="2"/>
  <c r="AK38" i="2"/>
  <c r="AK39" i="2"/>
  <c r="AK40" i="2"/>
  <c r="AK41" i="2"/>
  <c r="AK42" i="2"/>
  <c r="AK43" i="2"/>
  <c r="AK44" i="2"/>
  <c r="AL11" i="2"/>
  <c r="AK11" i="2"/>
  <c r="AI12" i="2"/>
  <c r="AI13" i="2"/>
  <c r="AI14" i="2"/>
  <c r="AI15" i="2"/>
  <c r="AI16" i="2"/>
  <c r="AI17" i="2"/>
  <c r="AI18" i="2"/>
  <c r="AI19" i="2"/>
  <c r="AI20" i="2"/>
  <c r="AI21" i="2"/>
  <c r="AI22" i="2"/>
  <c r="AI23" i="2"/>
  <c r="AI24" i="2"/>
  <c r="AI25" i="2"/>
  <c r="AI26" i="2"/>
  <c r="AI27" i="2"/>
  <c r="AI28" i="2"/>
  <c r="AI29" i="2"/>
  <c r="AI30" i="2"/>
  <c r="AI31" i="2"/>
  <c r="AI32" i="2"/>
  <c r="AI33" i="2"/>
  <c r="AI34" i="2"/>
  <c r="AI35" i="2"/>
  <c r="AI36" i="2"/>
  <c r="AI37" i="2"/>
  <c r="AI38" i="2"/>
  <c r="AI39" i="2"/>
  <c r="AI40" i="2"/>
  <c r="AI41" i="2"/>
  <c r="AI42" i="2"/>
  <c r="AI43" i="2"/>
  <c r="AI44" i="2"/>
  <c r="AH12" i="2"/>
  <c r="AH13" i="2"/>
  <c r="AH14" i="2"/>
  <c r="AH15" i="2"/>
  <c r="AH16" i="2"/>
  <c r="AH17" i="2"/>
  <c r="AH18" i="2"/>
  <c r="AH19" i="2"/>
  <c r="AH20" i="2"/>
  <c r="AH21" i="2"/>
  <c r="AH22" i="2"/>
  <c r="AH23" i="2"/>
  <c r="AH24" i="2"/>
  <c r="AH25" i="2"/>
  <c r="AH26" i="2"/>
  <c r="AH27" i="2"/>
  <c r="AH28" i="2"/>
  <c r="AH29" i="2"/>
  <c r="AH30" i="2"/>
  <c r="AH31" i="2"/>
  <c r="AH32" i="2"/>
  <c r="AH33" i="2"/>
  <c r="AH34" i="2"/>
  <c r="AH35" i="2"/>
  <c r="AH36" i="2"/>
  <c r="AH37" i="2"/>
  <c r="AH38" i="2"/>
  <c r="AH39" i="2"/>
  <c r="AH40" i="2"/>
  <c r="AH41" i="2"/>
  <c r="AH42" i="2"/>
  <c r="AH43" i="2"/>
  <c r="AH44" i="2"/>
  <c r="AI11" i="2"/>
  <c r="AH11" i="2"/>
  <c r="AF12" i="2"/>
  <c r="AF13" i="2"/>
  <c r="AF14" i="2"/>
  <c r="AF15" i="2"/>
  <c r="AF16" i="2"/>
  <c r="AF17" i="2"/>
  <c r="AF18" i="2"/>
  <c r="AF19" i="2"/>
  <c r="AF20" i="2"/>
  <c r="AF21" i="2"/>
  <c r="AF22" i="2"/>
  <c r="AF23" i="2"/>
  <c r="AF24" i="2"/>
  <c r="AF25" i="2"/>
  <c r="AF26" i="2"/>
  <c r="AF27" i="2"/>
  <c r="AF28" i="2"/>
  <c r="AF29" i="2"/>
  <c r="AF30" i="2"/>
  <c r="AF31" i="2"/>
  <c r="AF32" i="2"/>
  <c r="AF33" i="2"/>
  <c r="AF34" i="2"/>
  <c r="AF35" i="2"/>
  <c r="AF36" i="2"/>
  <c r="AF37" i="2"/>
  <c r="AF38" i="2"/>
  <c r="AF39" i="2"/>
  <c r="AF40" i="2"/>
  <c r="AF41" i="2"/>
  <c r="AF42" i="2"/>
  <c r="AF43" i="2"/>
  <c r="AF44" i="2"/>
  <c r="AE12" i="2"/>
  <c r="AE13" i="2"/>
  <c r="AE14" i="2"/>
  <c r="AE15" i="2"/>
  <c r="AE16" i="2"/>
  <c r="AE17" i="2"/>
  <c r="AE18" i="2"/>
  <c r="AE19" i="2"/>
  <c r="AE20" i="2"/>
  <c r="AE21" i="2"/>
  <c r="AE22" i="2"/>
  <c r="AE23" i="2"/>
  <c r="AE24" i="2"/>
  <c r="AE25" i="2"/>
  <c r="AE26" i="2"/>
  <c r="AE27" i="2"/>
  <c r="AE28" i="2"/>
  <c r="AE29" i="2"/>
  <c r="AE30" i="2"/>
  <c r="AE31" i="2"/>
  <c r="AE32" i="2"/>
  <c r="AE33" i="2"/>
  <c r="AE34" i="2"/>
  <c r="AE35" i="2"/>
  <c r="AE36" i="2"/>
  <c r="AE37" i="2"/>
  <c r="AE38" i="2"/>
  <c r="AE39" i="2"/>
  <c r="AE40" i="2"/>
  <c r="AE41" i="2"/>
  <c r="AE42" i="2"/>
  <c r="AE43" i="2"/>
  <c r="AE44" i="2"/>
  <c r="AF11" i="2"/>
  <c r="AE11" i="2"/>
  <c r="AC12" i="2"/>
  <c r="AC13" i="2"/>
  <c r="AC14" i="2"/>
  <c r="AC15" i="2"/>
  <c r="AC16" i="2"/>
  <c r="AC17" i="2"/>
  <c r="AC18" i="2"/>
  <c r="AC19" i="2"/>
  <c r="AC20" i="2"/>
  <c r="AC21" i="2"/>
  <c r="AC22" i="2"/>
  <c r="AC23" i="2"/>
  <c r="AC24" i="2"/>
  <c r="AC25" i="2"/>
  <c r="AC26" i="2"/>
  <c r="AC27" i="2"/>
  <c r="AC28" i="2"/>
  <c r="AC29" i="2"/>
  <c r="AC30" i="2"/>
  <c r="AC31" i="2"/>
  <c r="AC32" i="2"/>
  <c r="AC33" i="2"/>
  <c r="AC34" i="2"/>
  <c r="AC35" i="2"/>
  <c r="AC36" i="2"/>
  <c r="AC37" i="2"/>
  <c r="AC38" i="2"/>
  <c r="AC39" i="2"/>
  <c r="AC40" i="2"/>
  <c r="AC41" i="2"/>
  <c r="AC42" i="2"/>
  <c r="AC43" i="2"/>
  <c r="AC44" i="2"/>
  <c r="AB12" i="2"/>
  <c r="AB13" i="2"/>
  <c r="AB14" i="2"/>
  <c r="AB15" i="2"/>
  <c r="AB16" i="2"/>
  <c r="AB17" i="2"/>
  <c r="AB18" i="2"/>
  <c r="AB19" i="2"/>
  <c r="AB20" i="2"/>
  <c r="AB21" i="2"/>
  <c r="AB22" i="2"/>
  <c r="AB23" i="2"/>
  <c r="AB24" i="2"/>
  <c r="AB25" i="2"/>
  <c r="AB26" i="2"/>
  <c r="AB27" i="2"/>
  <c r="AB28" i="2"/>
  <c r="AB29" i="2"/>
  <c r="AB30" i="2"/>
  <c r="AB31" i="2"/>
  <c r="AB32" i="2"/>
  <c r="AB33" i="2"/>
  <c r="AB34" i="2"/>
  <c r="AB35" i="2"/>
  <c r="AB36" i="2"/>
  <c r="AB37" i="2"/>
  <c r="AB38" i="2"/>
  <c r="AB39" i="2"/>
  <c r="AB40" i="2"/>
  <c r="AB41" i="2"/>
  <c r="AB42" i="2"/>
  <c r="AB43" i="2"/>
  <c r="AB44" i="2"/>
  <c r="AC11" i="2"/>
  <c r="AB11" i="2"/>
  <c r="Z12" i="2"/>
  <c r="Z13" i="2"/>
  <c r="Z14" i="2"/>
  <c r="Z15" i="2"/>
  <c r="Z16" i="2"/>
  <c r="Z17" i="2"/>
  <c r="Z18" i="2"/>
  <c r="Z19" i="2"/>
  <c r="Z20" i="2"/>
  <c r="Z21" i="2"/>
  <c r="Z22" i="2"/>
  <c r="Z23" i="2"/>
  <c r="Z24" i="2"/>
  <c r="Z25" i="2"/>
  <c r="Z26" i="2"/>
  <c r="Z27" i="2"/>
  <c r="Z28" i="2"/>
  <c r="Z29" i="2"/>
  <c r="Z30" i="2"/>
  <c r="Z31" i="2"/>
  <c r="Z32" i="2"/>
  <c r="Z33" i="2"/>
  <c r="Z34" i="2"/>
  <c r="Z35" i="2"/>
  <c r="Z36" i="2"/>
  <c r="Z37" i="2"/>
  <c r="Z38" i="2"/>
  <c r="Z39" i="2"/>
  <c r="Z40" i="2"/>
  <c r="Z41" i="2"/>
  <c r="Z42" i="2"/>
  <c r="Z43" i="2"/>
  <c r="Z44" i="2"/>
  <c r="Y12" i="2"/>
  <c r="Y13" i="2"/>
  <c r="Y14" i="2"/>
  <c r="Y15" i="2"/>
  <c r="Y16" i="2"/>
  <c r="Y17" i="2"/>
  <c r="Y18" i="2"/>
  <c r="Y19" i="2"/>
  <c r="Y20" i="2"/>
  <c r="Y21" i="2"/>
  <c r="Y22" i="2"/>
  <c r="Y23" i="2"/>
  <c r="Y24" i="2"/>
  <c r="Y25" i="2"/>
  <c r="Y26" i="2"/>
  <c r="Y27" i="2"/>
  <c r="Y28" i="2"/>
  <c r="Y29" i="2"/>
  <c r="Y30" i="2"/>
  <c r="Y31" i="2"/>
  <c r="Y32" i="2"/>
  <c r="Y33" i="2"/>
  <c r="Y34" i="2"/>
  <c r="Y35" i="2"/>
  <c r="Y36" i="2"/>
  <c r="Y37" i="2"/>
  <c r="Y38" i="2"/>
  <c r="Y39" i="2"/>
  <c r="Y40" i="2"/>
  <c r="Y41" i="2"/>
  <c r="Y42" i="2"/>
  <c r="Y43" i="2"/>
  <c r="Y44" i="2"/>
  <c r="Z11" i="2"/>
  <c r="Y11" i="2"/>
  <c r="W12" i="2"/>
  <c r="W13" i="2"/>
  <c r="W14" i="2"/>
  <c r="W15" i="2"/>
  <c r="W16" i="2"/>
  <c r="W17" i="2"/>
  <c r="W18" i="2"/>
  <c r="W19" i="2"/>
  <c r="W20" i="2"/>
  <c r="W21" i="2"/>
  <c r="W22" i="2"/>
  <c r="W23" i="2"/>
  <c r="W24" i="2"/>
  <c r="W25" i="2"/>
  <c r="W26" i="2"/>
  <c r="W27" i="2"/>
  <c r="W28" i="2"/>
  <c r="W29" i="2"/>
  <c r="W30" i="2"/>
  <c r="W31" i="2"/>
  <c r="W32" i="2"/>
  <c r="W33" i="2"/>
  <c r="W34" i="2"/>
  <c r="W35" i="2"/>
  <c r="W36" i="2"/>
  <c r="W37" i="2"/>
  <c r="W38" i="2"/>
  <c r="W39" i="2"/>
  <c r="W40" i="2"/>
  <c r="W41" i="2"/>
  <c r="W42" i="2"/>
  <c r="W43" i="2"/>
  <c r="W44" i="2"/>
  <c r="V12" i="2"/>
  <c r="V13" i="2"/>
  <c r="V14" i="2"/>
  <c r="V15" i="2"/>
  <c r="V16" i="2"/>
  <c r="V17" i="2"/>
  <c r="V18" i="2"/>
  <c r="V19" i="2"/>
  <c r="V20" i="2"/>
  <c r="V21" i="2"/>
  <c r="V22" i="2"/>
  <c r="V23" i="2"/>
  <c r="V24" i="2"/>
  <c r="V25" i="2"/>
  <c r="V26" i="2"/>
  <c r="V27" i="2"/>
  <c r="V28" i="2"/>
  <c r="V29" i="2"/>
  <c r="V30" i="2"/>
  <c r="V31" i="2"/>
  <c r="V32" i="2"/>
  <c r="V33" i="2"/>
  <c r="V34" i="2"/>
  <c r="V35" i="2"/>
  <c r="V36" i="2"/>
  <c r="V37" i="2"/>
  <c r="V38" i="2"/>
  <c r="V39" i="2"/>
  <c r="V40" i="2"/>
  <c r="V41" i="2"/>
  <c r="V42" i="2"/>
  <c r="V43" i="2"/>
  <c r="V44" i="2"/>
  <c r="W11" i="2"/>
  <c r="V11" i="2"/>
  <c r="T12" i="2"/>
  <c r="T13" i="2"/>
  <c r="T14" i="2"/>
  <c r="T15" i="2"/>
  <c r="T16" i="2"/>
  <c r="T17" i="2"/>
  <c r="T18" i="2"/>
  <c r="T19" i="2"/>
  <c r="T20" i="2"/>
  <c r="T21" i="2"/>
  <c r="T22" i="2"/>
  <c r="T23" i="2"/>
  <c r="T24" i="2"/>
  <c r="T25" i="2"/>
  <c r="T26" i="2"/>
  <c r="T27" i="2"/>
  <c r="T28" i="2"/>
  <c r="T29" i="2"/>
  <c r="T30" i="2"/>
  <c r="T31" i="2"/>
  <c r="T32" i="2"/>
  <c r="T33" i="2"/>
  <c r="T34" i="2"/>
  <c r="T35" i="2"/>
  <c r="T36" i="2"/>
  <c r="T37" i="2"/>
  <c r="T38" i="2"/>
  <c r="T39" i="2"/>
  <c r="T40" i="2"/>
  <c r="T41" i="2"/>
  <c r="T42" i="2"/>
  <c r="T43" i="2"/>
  <c r="T44" i="2"/>
  <c r="S12" i="2"/>
  <c r="S13" i="2"/>
  <c r="S14" i="2"/>
  <c r="S15" i="2"/>
  <c r="S16" i="2"/>
  <c r="S17" i="2"/>
  <c r="S18" i="2"/>
  <c r="S19" i="2"/>
  <c r="S20" i="2"/>
  <c r="S21" i="2"/>
  <c r="S22" i="2"/>
  <c r="S23" i="2"/>
  <c r="S24" i="2"/>
  <c r="S25" i="2"/>
  <c r="S26" i="2"/>
  <c r="S27" i="2"/>
  <c r="S28" i="2"/>
  <c r="S29" i="2"/>
  <c r="S30" i="2"/>
  <c r="S31" i="2"/>
  <c r="S32" i="2"/>
  <c r="S33" i="2"/>
  <c r="S34" i="2"/>
  <c r="S35" i="2"/>
  <c r="S36" i="2"/>
  <c r="S37" i="2"/>
  <c r="S38" i="2"/>
  <c r="S39" i="2"/>
  <c r="S40" i="2"/>
  <c r="S41" i="2"/>
  <c r="S42" i="2"/>
  <c r="S43" i="2"/>
  <c r="S44" i="2"/>
  <c r="T11" i="2"/>
  <c r="S11" i="2"/>
  <c r="Q35" i="2"/>
  <c r="P12" i="2"/>
  <c r="Q12" i="2" s="1"/>
  <c r="P13" i="2"/>
  <c r="Q13" i="2" s="1"/>
  <c r="P14" i="2"/>
  <c r="Q14" i="2" s="1"/>
  <c r="P15" i="2"/>
  <c r="Q15" i="2" s="1"/>
  <c r="P16" i="2"/>
  <c r="Q16" i="2" s="1"/>
  <c r="P17" i="2"/>
  <c r="Q17" i="2" s="1"/>
  <c r="P18" i="2"/>
  <c r="Q18" i="2" s="1"/>
  <c r="P19" i="2"/>
  <c r="Q19" i="2" s="1"/>
  <c r="P20" i="2"/>
  <c r="Q20" i="2" s="1"/>
  <c r="P21" i="2"/>
  <c r="Q21" i="2" s="1"/>
  <c r="P22" i="2"/>
  <c r="Q22" i="2" s="1"/>
  <c r="P23" i="2"/>
  <c r="Q23" i="2" s="1"/>
  <c r="P24" i="2"/>
  <c r="Q24" i="2" s="1"/>
  <c r="P25" i="2"/>
  <c r="Q25" i="2" s="1"/>
  <c r="P26" i="2"/>
  <c r="Q26" i="2" s="1"/>
  <c r="P27" i="2"/>
  <c r="Q27" i="2" s="1"/>
  <c r="P28" i="2"/>
  <c r="Q28" i="2" s="1"/>
  <c r="P29" i="2"/>
  <c r="Q29" i="2" s="1"/>
  <c r="P30" i="2"/>
  <c r="Q30" i="2" s="1"/>
  <c r="P31" i="2"/>
  <c r="Q31" i="2" s="1"/>
  <c r="P32" i="2"/>
  <c r="Q32" i="2" s="1"/>
  <c r="P33" i="2"/>
  <c r="Q33" i="2" s="1"/>
  <c r="P34" i="2"/>
  <c r="Q34" i="2" s="1"/>
  <c r="P35" i="2"/>
  <c r="P36" i="2"/>
  <c r="Q36" i="2" s="1"/>
  <c r="P37" i="2"/>
  <c r="Q37" i="2" s="1"/>
  <c r="P38" i="2"/>
  <c r="Q38" i="2" s="1"/>
  <c r="P39" i="2"/>
  <c r="Q39" i="2" s="1"/>
  <c r="P40" i="2"/>
  <c r="Q40" i="2" s="1"/>
  <c r="P41" i="2"/>
  <c r="Q41" i="2" s="1"/>
  <c r="P42" i="2"/>
  <c r="Q42" i="2" s="1"/>
  <c r="P43" i="2"/>
  <c r="Q43" i="2" s="1"/>
  <c r="P44" i="2"/>
  <c r="Q44" i="2" s="1"/>
  <c r="Q11" i="2"/>
  <c r="P11" i="2"/>
  <c r="N12" i="2"/>
  <c r="N13" i="2"/>
  <c r="N14" i="2"/>
  <c r="N15" i="2"/>
  <c r="N16" i="2"/>
  <c r="N17" i="2"/>
  <c r="N18" i="2"/>
  <c r="N19" i="2"/>
  <c r="N20" i="2"/>
  <c r="N21" i="2"/>
  <c r="N22" i="2"/>
  <c r="N23" i="2"/>
  <c r="N24" i="2"/>
  <c r="N25" i="2"/>
  <c r="N26" i="2"/>
  <c r="N27" i="2"/>
  <c r="N28" i="2"/>
  <c r="N29" i="2"/>
  <c r="N30" i="2"/>
  <c r="N31" i="2"/>
  <c r="N32" i="2"/>
  <c r="N33" i="2"/>
  <c r="N34" i="2"/>
  <c r="N35" i="2"/>
  <c r="N36" i="2"/>
  <c r="N37" i="2"/>
  <c r="N38" i="2"/>
  <c r="N39" i="2"/>
  <c r="N40" i="2"/>
  <c r="N41" i="2"/>
  <c r="N42" i="2"/>
  <c r="N43" i="2"/>
  <c r="N44" i="2"/>
  <c r="M12" i="2"/>
  <c r="M13" i="2"/>
  <c r="M14" i="2"/>
  <c r="M15" i="2"/>
  <c r="M16" i="2"/>
  <c r="M17" i="2"/>
  <c r="M18" i="2"/>
  <c r="M19" i="2"/>
  <c r="M20" i="2"/>
  <c r="M21" i="2"/>
  <c r="M22" i="2"/>
  <c r="M23" i="2"/>
  <c r="M24" i="2"/>
  <c r="M25" i="2"/>
  <c r="M26" i="2"/>
  <c r="M27" i="2"/>
  <c r="M28" i="2"/>
  <c r="M29" i="2"/>
  <c r="M30" i="2"/>
  <c r="M31" i="2"/>
  <c r="M32" i="2"/>
  <c r="M33" i="2"/>
  <c r="M34" i="2"/>
  <c r="M35" i="2"/>
  <c r="M36" i="2"/>
  <c r="M37" i="2"/>
  <c r="M38" i="2"/>
  <c r="M39" i="2"/>
  <c r="M40" i="2"/>
  <c r="M41" i="2"/>
  <c r="M42" i="2"/>
  <c r="M43" i="2"/>
  <c r="M44" i="2"/>
  <c r="N11" i="2"/>
  <c r="M11" i="2"/>
  <c r="K12" i="2"/>
  <c r="K13" i="2"/>
  <c r="K14" i="2"/>
  <c r="K15" i="2"/>
  <c r="K16" i="2"/>
  <c r="K17" i="2"/>
  <c r="K18" i="2"/>
  <c r="K19" i="2"/>
  <c r="K20" i="2"/>
  <c r="K21" i="2"/>
  <c r="K22" i="2"/>
  <c r="K23" i="2"/>
  <c r="K24" i="2"/>
  <c r="K25" i="2"/>
  <c r="K26" i="2"/>
  <c r="K27" i="2"/>
  <c r="K28" i="2"/>
  <c r="K29" i="2"/>
  <c r="K30" i="2"/>
  <c r="K31" i="2"/>
  <c r="K32" i="2"/>
  <c r="K33" i="2"/>
  <c r="K34" i="2"/>
  <c r="K35" i="2"/>
  <c r="K36" i="2"/>
  <c r="K37" i="2"/>
  <c r="K38" i="2"/>
  <c r="K39" i="2"/>
  <c r="K40" i="2"/>
  <c r="K41" i="2"/>
  <c r="K42" i="2"/>
  <c r="K43" i="2"/>
  <c r="K44" i="2"/>
  <c r="J12" i="2"/>
  <c r="J13" i="2"/>
  <c r="J14" i="2"/>
  <c r="J15" i="2"/>
  <c r="J16" i="2"/>
  <c r="J17" i="2"/>
  <c r="J18" i="2"/>
  <c r="J19" i="2"/>
  <c r="J20" i="2"/>
  <c r="J21" i="2"/>
  <c r="J22" i="2"/>
  <c r="J23" i="2"/>
  <c r="J24" i="2"/>
  <c r="J25" i="2"/>
  <c r="J26" i="2"/>
  <c r="J27" i="2"/>
  <c r="J28" i="2"/>
  <c r="J29" i="2"/>
  <c r="J30" i="2"/>
  <c r="J31" i="2"/>
  <c r="J32" i="2"/>
  <c r="J33" i="2"/>
  <c r="J34" i="2"/>
  <c r="J35" i="2"/>
  <c r="J36" i="2"/>
  <c r="J37" i="2"/>
  <c r="J38" i="2"/>
  <c r="J39" i="2"/>
  <c r="J40" i="2"/>
  <c r="J41" i="2"/>
  <c r="J42" i="2"/>
  <c r="J43" i="2"/>
  <c r="J44" i="2"/>
  <c r="K11" i="2"/>
  <c r="J11" i="2"/>
  <c r="H12" i="2"/>
  <c r="H13" i="2"/>
  <c r="H14" i="2"/>
  <c r="H15" i="2"/>
  <c r="H16" i="2"/>
  <c r="H17" i="2"/>
  <c r="H18" i="2"/>
  <c r="H19" i="2"/>
  <c r="H20" i="2"/>
  <c r="H21" i="2"/>
  <c r="H22" i="2"/>
  <c r="H23" i="2"/>
  <c r="H24" i="2"/>
  <c r="H25" i="2"/>
  <c r="H26" i="2"/>
  <c r="H27" i="2"/>
  <c r="H28" i="2"/>
  <c r="H29" i="2"/>
  <c r="H30" i="2"/>
  <c r="H31" i="2"/>
  <c r="H32" i="2"/>
  <c r="H33" i="2"/>
  <c r="H34" i="2"/>
  <c r="H35" i="2"/>
  <c r="H36" i="2"/>
  <c r="H37" i="2"/>
  <c r="H38" i="2"/>
  <c r="H39" i="2"/>
  <c r="H40" i="2"/>
  <c r="H41" i="2"/>
  <c r="H42" i="2"/>
  <c r="H43" i="2"/>
  <c r="H44" i="2"/>
  <c r="G12" i="2"/>
  <c r="G13" i="2"/>
  <c r="G14" i="2"/>
  <c r="G15" i="2"/>
  <c r="G16" i="2"/>
  <c r="G17" i="2"/>
  <c r="G18" i="2"/>
  <c r="G19" i="2"/>
  <c r="G20" i="2"/>
  <c r="G21" i="2"/>
  <c r="G22" i="2"/>
  <c r="G23" i="2"/>
  <c r="G24" i="2"/>
  <c r="G25" i="2"/>
  <c r="G26" i="2"/>
  <c r="G27" i="2"/>
  <c r="G28" i="2"/>
  <c r="G29" i="2"/>
  <c r="G30" i="2"/>
  <c r="G31" i="2"/>
  <c r="G32" i="2"/>
  <c r="G33" i="2"/>
  <c r="G34" i="2"/>
  <c r="G35" i="2"/>
  <c r="G36" i="2"/>
  <c r="G37" i="2"/>
  <c r="G38" i="2"/>
  <c r="G39" i="2"/>
  <c r="G40" i="2"/>
  <c r="G41" i="2"/>
  <c r="G42" i="2"/>
  <c r="G43" i="2"/>
  <c r="G44" i="2"/>
  <c r="L5" i="2"/>
  <c r="K5" i="2"/>
  <c r="R5" i="2"/>
  <c r="Q5" i="2"/>
  <c r="O5" i="2"/>
  <c r="N5" i="2"/>
  <c r="S5" i="2"/>
  <c r="G5" i="2"/>
  <c r="O44" i="2"/>
  <c r="O43" i="2"/>
  <c r="O42" i="2"/>
  <c r="O41" i="2"/>
  <c r="O40" i="2"/>
  <c r="O39" i="2"/>
  <c r="O38" i="2"/>
  <c r="O37" i="2"/>
  <c r="O36" i="2"/>
  <c r="O35" i="2"/>
  <c r="O34" i="2"/>
  <c r="O33" i="2"/>
  <c r="O32" i="2"/>
  <c r="O29" i="2"/>
  <c r="O30" i="2"/>
  <c r="O28" i="2"/>
  <c r="O25" i="2"/>
  <c r="O24" i="2"/>
  <c r="O22" i="2"/>
  <c r="O21" i="2"/>
  <c r="O20" i="2"/>
  <c r="O19" i="2"/>
  <c r="O18" i="2"/>
  <c r="O17" i="2"/>
  <c r="O16" i="2"/>
  <c r="O15" i="2"/>
  <c r="O14" i="2"/>
  <c r="O13" i="2"/>
  <c r="O12" i="2"/>
  <c r="O11" i="2"/>
  <c r="N50" i="2" l="1"/>
  <c r="O50" i="2" s="1"/>
  <c r="AW23" i="2" l="1"/>
  <c r="AW12" i="2"/>
  <c r="AW22" i="2"/>
  <c r="AW25" i="2"/>
  <c r="AW26" i="2"/>
  <c r="AW29" i="2"/>
  <c r="AW33" i="2"/>
  <c r="AW36" i="2"/>
  <c r="AW37" i="2"/>
  <c r="AW38" i="2"/>
  <c r="AW41" i="2"/>
  <c r="AW42" i="2"/>
  <c r="AW34" i="2" l="1"/>
  <c r="AW30" i="2"/>
  <c r="AW43" i="2"/>
  <c r="AW39" i="2"/>
  <c r="AW35" i="2"/>
  <c r="AW31" i="2"/>
  <c r="AW27" i="2"/>
  <c r="AW19" i="2"/>
  <c r="AW18" i="2"/>
  <c r="AW14" i="2"/>
  <c r="AW21" i="2"/>
  <c r="AW17" i="2"/>
  <c r="AW13" i="2"/>
  <c r="AW44" i="2"/>
  <c r="AW40" i="2"/>
  <c r="AW32" i="2"/>
  <c r="AW28" i="2"/>
  <c r="AW24" i="2"/>
  <c r="AW20" i="2"/>
  <c r="AW16" i="2"/>
  <c r="L15" i="2"/>
  <c r="AW15" i="2" s="1"/>
  <c r="AW11" i="2" l="1"/>
  <c r="G11" i="2"/>
  <c r="H11" i="2" s="1"/>
  <c r="K50" i="2"/>
  <c r="L50" i="2" s="1"/>
  <c r="P50" i="2" s="1"/>
  <c r="O49" i="2"/>
  <c r="P49" i="2" s="1"/>
</calcChain>
</file>

<file path=xl/sharedStrings.xml><?xml version="1.0" encoding="utf-8"?>
<sst xmlns="http://schemas.openxmlformats.org/spreadsheetml/2006/main" count="216" uniqueCount="108">
  <si>
    <t>ESTUDIO DE MERCADO PROYECTO 2087 TEUSAQUILLO ADELANTE CON LA AGRICULTURA URBANA</t>
  </si>
  <si>
    <t>No</t>
  </si>
  <si>
    <t>CODIGO UNSPSC</t>
  </si>
  <si>
    <t>DESCRIPCIÓN</t>
  </si>
  <si>
    <t>BIEN O SERVICIO</t>
  </si>
  <si>
    <t>UNIDAD DE MEDIDA</t>
  </si>
  <si>
    <t xml:space="preserve">CANTIDAD COTIZADA </t>
  </si>
  <si>
    <t>TEXTO PRINT</t>
  </si>
  <si>
    <t>IMPREFACIL S.A.S</t>
  </si>
  <si>
    <t>TONO GRÁFICO DIGITAL</t>
  </si>
  <si>
    <t>VALOR PROMEDIO UNITARIO</t>
  </si>
  <si>
    <t>PAPELERIA</t>
  </si>
  <si>
    <t>Publicaciones empresas</t>
  </si>
  <si>
    <t>FOLLETO INFORMATIVO. Diseño, impresión y entrega de folleto informativo impreso por doble cara a color, en papel propalcote o de revista con medidas: 22cm x 34cm equivalente a una hoja oficio, el cual estará plegado en cuatro (4) partes iguales, debidamente marcado con el nombre del proyecto y el logo de la administración actual, además de información referente a agricultura urbana, sobre el proceso de siembra de alimentos en espacios reducidos. </t>
  </si>
  <si>
    <t>Unidad</t>
  </si>
  <si>
    <t xml:space="preserve">    </t>
  </si>
  <si>
    <t>MATERARTE</t>
  </si>
  <si>
    <t>DISTRILADAM</t>
  </si>
  <si>
    <t>GREEN DECO</t>
  </si>
  <si>
    <t>HOMECENTER</t>
  </si>
  <si>
    <t>TRAMONTINA COLOMBIA</t>
  </si>
  <si>
    <t>PALMAS Y JARDINES DE MANUEL</t>
  </si>
  <si>
    <t>VIVERO EL ARBOL</t>
  </si>
  <si>
    <t>VIVERO PAISAJISTA EL MONO</t>
  </si>
  <si>
    <t>FERRETERIA CHUCHO</t>
  </si>
  <si>
    <t>HAUSSEN</t>
  </si>
  <si>
    <t>Muebles para exterior</t>
  </si>
  <si>
    <t>MATERA EN FIBROCEMENTO. Medidas: Un (1 mt) metro de largo x sesenta centímetros (60 cms) de ancho x ochenta (80 cms) centímetros de alto. Debe incluir una estructura que sobresale de la matera la cual será utilizada como soporte para plantas con enredaderas, esta estructura debe medir 1 metro con 60 centímetros en total de altura desde la base de la matera.  La matera debe incluir cuatro bases o soportes en la parte inferior de las esquinas de la matera, que generarán altura y separarán la base de la matera del suelo. </t>
  </si>
  <si>
    <t>Materas para invernadero</t>
  </si>
  <si>
    <t>MATERA PLÁSTICA en forma rectangular. Medidas: 40 centímetros de largo x 20 centímetros de ancho x 15 centímetros de alto </t>
  </si>
  <si>
    <t>Semillas y plántulas de especias</t>
  </si>
  <si>
    <t>PLÁNTULAS de aromáticas listas para sembrar. </t>
  </si>
  <si>
    <t>Semillas o esquejes de arboles frutales</t>
  </si>
  <si>
    <t>PLÁNTULAS-  arboles frutales para generar enredadera, listas para sembrar. </t>
  </si>
  <si>
    <t>ARBOLES FRUTALES. Listos para sembrar de aproximadamente 40 centímetros de alto. Especies: durazno, manzana, ciruela, pomarroso, chachafruto </t>
  </si>
  <si>
    <t>Semillas y plántulas vegetales</t>
  </si>
  <si>
    <t>PLÁNTULAS hortalizas listas para sembrar </t>
  </si>
  <si>
    <t>Barro y tierra</t>
  </si>
  <si>
    <t> Sustrato en bulto por cuarenta kilogramos (40 KG)</t>
  </si>
  <si>
    <t>Bulto</t>
  </si>
  <si>
    <t>1 Kg de tierra negra abonada empacado, listo para entregar.</t>
  </si>
  <si>
    <t>Semillas, bulbos, plantulas y esquejes</t>
  </si>
  <si>
    <t>Sobre de semillas orgánicas de especies hortalizas, aromáticas y frutales. Deben cumplir con los estándares de calidad exigidos por el ICA.</t>
  </si>
  <si>
    <t>Germinador de semillas</t>
  </si>
  <si>
    <t xml:space="preserve">Juego de herramientas para jardin en miniatura </t>
  </si>
  <si>
    <t>Kit de tres herramientas para siembra que incluya 1 pala, 1 cultivador y 1 paleta. Con mango corto</t>
  </si>
  <si>
    <t>Kit</t>
  </si>
  <si>
    <t>Abonos orgánicos y nutrientes para plantas</t>
  </si>
  <si>
    <t>Compost: Bulto de Lombricomposta por 40 Kilogramos</t>
  </si>
  <si>
    <t>Plantas de té</t>
  </si>
  <si>
    <t>ARBOLES DE TÉ. Listos para sembrar de aproximadamente 40 centímetros de alto . Arbustos de distintos colores </t>
  </si>
  <si>
    <t>Plantas vivas de especies o variedades de flores altas</t>
  </si>
  <si>
    <t>PLANTAS PARA POLINIZADORES. Especies: borraja, mermelada, chiripique, no me olvides, Dalia, girasol, siempre viva. Listos para sembrar. </t>
  </si>
  <si>
    <t>Plantas vivas de especies o variedades de flores bajas</t>
  </si>
  <si>
    <t>Hebe Pinguifolia paguei para cerca viva de mínimo 40 centímetros de alto, entregadas en bolsa plastica por unidad listas para sembrar. </t>
  </si>
  <si>
    <t>Plásticos termoplasticos</t>
  </si>
  <si>
    <t>Metro</t>
  </si>
  <si>
    <t>Regadera de jardín</t>
  </si>
  <si>
    <t>Palas</t>
  </si>
  <si>
    <t>Pala punta  redonda, en acero inoxidable con mango de madera, medidas aproximadas de 40 centímetros en total de largo. </t>
  </si>
  <si>
    <t>Pala punta redonda con mango; medidas aproximadas de 120 cm de largo total. </t>
  </si>
  <si>
    <t>Cultivador a mano</t>
  </si>
  <si>
    <t>Cultivador de tres dientes en acero inoxidable con mango de madera, medias aproximadas de 40 centímetros en total de largo</t>
  </si>
  <si>
    <t>Herramientas manuales de jardinería, agricultura y forestación</t>
  </si>
  <si>
    <t>PALADRAGA con mango largo; medidas aproximadas de 120 cm de largo total. </t>
  </si>
  <si>
    <t>Azadones</t>
  </si>
  <si>
    <t>AZADON. Para jardinería con mango de madera; medidas aproximadas de 110 centímetros de largo total. </t>
  </si>
  <si>
    <t>Machetes</t>
  </si>
  <si>
    <t>Barras de cavar o barretones</t>
  </si>
  <si>
    <t>Rastrillos</t>
  </si>
  <si>
    <t>Rastrillo de más de 20 dientes con mango, medidas de un metro con veinte centímetros (1,20 cm) </t>
  </si>
  <si>
    <t>Mangueras de agua</t>
  </si>
  <si>
    <t>Manguera bicolor. Medida: 50 metros para trabajo pesado. </t>
  </si>
  <si>
    <t>Tijeras para podar</t>
  </si>
  <si>
    <t>Tijeras cortacésped grandes de metal con mango de madera. Medidas aproximadas de 50 centímetros en total de largo. </t>
  </si>
  <si>
    <t>Tijera jardinera para trabajo liviano, corte de tallos. Hojas de acero y mango plástico. Medidas: 8 pulgadas </t>
  </si>
  <si>
    <t>Nylon</t>
  </si>
  <si>
    <t>NYLON. Poiliamida 66. Transparente por 100 metros</t>
  </si>
  <si>
    <t>Cuerda de polipropileno</t>
  </si>
  <si>
    <t>HILO PLÁSTICO. Cabuya multiusos de colores. Rollo.</t>
  </si>
  <si>
    <t>Cabuya</t>
  </si>
  <si>
    <t xml:space="preserve">CABUYA. Madeja de cuerda cabuya  500 gramos rollo por 85 metros. </t>
  </si>
  <si>
    <t>Rodillos para pintar</t>
  </si>
  <si>
    <t>Rodillo de línea popular con unión metálica y mango tubular en plástico. Espuma poliuretano. Medida 9 pulgadas (22,86 cm)</t>
  </si>
  <si>
    <t>Pinturas y tapaporos</t>
  </si>
  <si>
    <t>GRUPO EMPRESARIAL GP SAS</t>
  </si>
  <si>
    <t>UNICARPAS ANM</t>
  </si>
  <si>
    <t>NACIONAL DE CARPAS</t>
  </si>
  <si>
    <t>HCM</t>
  </si>
  <si>
    <t>AGROINSUMOS MADRID</t>
  </si>
  <si>
    <t>CVC FERRETERÍA</t>
  </si>
  <si>
    <t>CALYPSO</t>
  </si>
  <si>
    <t xml:space="preserve">WIPA </t>
  </si>
  <si>
    <t>VALOR UNITARIO</t>
  </si>
  <si>
    <t>IVA 19%</t>
  </si>
  <si>
    <t>VALOR TOTAL</t>
  </si>
  <si>
    <t xml:space="preserve">    INSUMOS Y HERRAMIENTAS</t>
  </si>
  <si>
    <t>CARPAS</t>
  </si>
  <si>
    <t>Pintura para exterior adecuada para placas de fibrocemento. Colores primarios y blanco. Un galón (3,78 Litros) por cada color.</t>
  </si>
  <si>
    <t>PLASTICO NEGRO. 3 o 4 metros de ancho. Calibre 6. Resistente a condiciones ambientales. Apto para actividades de agricultura.</t>
  </si>
  <si>
    <t>POLISOMBRA. Color negro, 80% Anti UV. Medidas: Un metro de largo por cuatro metros de ancho. Apto para actividades de agricultura.</t>
  </si>
  <si>
    <t>REGADERA. Material: plastico. Distintos colores. Capacidad: 8 Litros. Con boquilla de aspersión.</t>
  </si>
  <si>
    <t>Tiendas, Carpas y estructuras de membrana</t>
  </si>
  <si>
    <r>
      <t xml:space="preserve">CARPA. Confeccionada en LONA resistente a la fricción, rasgado e intemperie, 100% impermeable, recubierta con pvc flexible por ambas caras, reforzado con tela 100% poliéster texturizado, tejido de punto.  Protección biocida frente a bacterias, hongos y algas, según protocolos ASTM G 21 y ASTM G 22 o UNE EN ISO 846, Y protección a la acción de los rayos ultravioleta (filtros U.V de alta calidad que mejoran el comportamiento frente a la acción de los rayos solares (intemperie).Metálica totalmente desarmable, Elaborada para alta durabilidad en tubería cuadrada de 1” calibre 18, con cerchas de 15 cm de ancha, con intermedios de 75cm. Parales en tubo cuadrado de 1 ½” calibre 18 con anillo protector en la parte superior del paral y bases en platina para mayor sostenimiento. Toda la estructura tratada con soldadura tipo MIG y pintura Horneable,electrostática, con tratamiento anticorrosivo. Con cortinas laterales </t>
    </r>
    <r>
      <rPr>
        <b/>
        <sz val="10"/>
        <color rgb="FF000000"/>
        <rFont val="Times New Roman"/>
        <family val="1"/>
      </rPr>
      <t>Medidas 3x3</t>
    </r>
    <r>
      <rPr>
        <sz val="10"/>
        <color rgb="FF000000"/>
        <rFont val="Times New Roman"/>
        <family val="1"/>
      </rPr>
      <t xml:space="preserve">. </t>
    </r>
  </si>
  <si>
    <r>
      <t xml:space="preserve">CARPA. Confeccionada en LONA resistente a la fricción, rasgado e intemperie, 100% impermeable, recubierta con pvc flexible por ambas caras, reforzado con tela 100% poliéster texturizado, tejido de punto.  Protección biocida frente a bacterias, hongos y algas, según protocolos ASTM G 21 y ASTM G 22 o UNE EN ISO 846, Y protección a la acción de los rayos ultravioleta (filtros U.V de alta calidad que mejoran el comportamiento frente a la acción de los rayos solares (intemperie).Metálica totalmente desarmable, Elaborada para alta durabilidad en tubería cuadrada de 1” calibre 18, con cerchas de 15 cm de ancha, con intermedios de 75cm. Parales en tubo cuadrado de 1 ½” calibre 18 con anillo protector en la parte superior del paral y bases en platina para mayor sostenimiento. Toda la estructura tratada con soldadura tipo MIG y pintura Horneable,electrostática, con tratamiento anticorrosivo. Con cortinas laterales </t>
    </r>
    <r>
      <rPr>
        <b/>
        <sz val="10"/>
        <color rgb="FF000000"/>
        <rFont val="Times New Roman"/>
        <family val="1"/>
      </rPr>
      <t>Medidas 4x4.</t>
    </r>
    <r>
      <rPr>
        <sz val="10"/>
        <color rgb="FF000000"/>
        <rFont val="Times New Roman"/>
        <family val="1"/>
      </rPr>
      <t xml:space="preserve"> </t>
    </r>
  </si>
  <si>
    <t>BANDEJA DE GERMINACIÓN. Para propagación de semillas con 50 cavidades. Material: Poliestireno. Color negro. Medidas Largo 55 centímetros x Ancho 29 centímetros x Profundidad: 9 centímetros. </t>
  </si>
  <si>
    <t>Machete barrigón pulido de 14 pulgadas </t>
  </si>
  <si>
    <t>Barra de acero de 18 pulgadas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</si>
</sst>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2" formatCode="_-&quot;$&quot;\ * #,##0_-;\-&quot;$&quot;\ * #,##0_-;_-&quot;$&quot;\ * &quot;-&quot;_-;_-@_-"/>
    <numFmt numFmtId="44" formatCode="_-&quot;$&quot;\ * #,##0.00_-;\-&quot;$&quot;\ * #,##0.00_-;_-&quot;$&quot;\ * &quot;-&quot;??_-;_-@_-"/>
    <numFmt numFmtId="164" formatCode="_(&quot;$&quot;\ * #,##0.00_);_(&quot;$&quot;\ * \(#,##0.00\);_(&quot;$&quot;\ * &quot;-&quot;??_);_(@_)"/>
    <numFmt numFmtId="165" formatCode="_(&quot;$&quot;\ * #,##0_);_(&quot;$&quot;\ * \(#,##0\);_(&quot;$&quot;\ * &quot;-&quot;??_);_(@_)"/>
    <numFmt numFmtId="166" formatCode="_-&quot;$&quot;\ * #,##0_-;\-&quot;$&quot;\ * #,##0_-;_-&quot;$&quot;\ * &quot;-&quot;??_-;_-@_-"/>
    <numFmt numFmtId="167" formatCode="[$$-240A]\ #,##0"/>
    <numFmt numFmtId="168" formatCode="#,##0_ ;\-#,##0\ "/>
    <numFmt numFmtId="169" formatCode="#,##0.00_ ;\-#,##0.00\ "/>
  </numFmts>
  <fonts count="16" x14ac:knownFonts="1">
    <font>
      <sz val="11"/>
      <color theme="1"/>
      <name val="Calibri"/>
      <family val="2"/>
      <scheme val="minor"/>
    </font>
    <font>
      <sz val="11"/>
      <color theme="1"/>
      <name val="Calibri"/>
      <family val="2"/>
      <scheme val="minor"/>
    </font>
    <font>
      <b/>
      <sz val="11"/>
      <color theme="1"/>
      <name val="Calibri"/>
      <family val="2"/>
      <scheme val="minor"/>
    </font>
    <font>
      <b/>
      <sz val="9"/>
      <color theme="1"/>
      <name val="Arial"/>
      <family val="2"/>
    </font>
    <font>
      <b/>
      <sz val="12"/>
      <color theme="1"/>
      <name val="Calibri"/>
      <family val="2"/>
      <scheme val="minor"/>
    </font>
    <font>
      <sz val="12"/>
      <name val="Times New Roman"/>
      <family val="1"/>
    </font>
    <font>
      <sz val="11"/>
      <color theme="1"/>
      <name val="Times New Roman"/>
      <family val="1"/>
    </font>
    <font>
      <b/>
      <sz val="11"/>
      <color theme="1"/>
      <name val="Times New Roman"/>
      <family val="1"/>
    </font>
    <font>
      <sz val="11"/>
      <color rgb="FF000000"/>
      <name val="Times New Roman"/>
      <family val="1"/>
    </font>
    <font>
      <sz val="11"/>
      <name val="Times New Roman"/>
      <family val="1"/>
    </font>
    <font>
      <sz val="10"/>
      <color rgb="FF000000"/>
      <name val="Times New Roman"/>
      <family val="1"/>
    </font>
    <font>
      <sz val="11"/>
      <color rgb="FF333333"/>
      <name val="Times New Roman"/>
      <family val="1"/>
    </font>
    <font>
      <sz val="11"/>
      <color rgb="FFFF0000"/>
      <name val="Times New Roman"/>
      <family val="1"/>
    </font>
    <font>
      <sz val="11"/>
      <name val="Calibri"/>
      <family val="2"/>
      <scheme val="minor"/>
    </font>
    <font>
      <sz val="12"/>
      <color theme="1"/>
      <name val="Times New Roman"/>
      <family val="1"/>
    </font>
    <font>
      <b/>
      <sz val="10"/>
      <color rgb="FF000000"/>
      <name val="Times New Roman"/>
      <family val="1"/>
    </font>
  </fonts>
  <fills count="8">
    <fill>
      <patternFill patternType="none"/>
    </fill>
    <fill>
      <patternFill patternType="gray125"/>
    </fill>
    <fill>
      <patternFill patternType="solid">
        <fgColor theme="9" tint="0.79998168889431442"/>
        <bgColor indexed="64"/>
      </patternFill>
    </fill>
    <fill>
      <patternFill patternType="solid">
        <fgColor rgb="FF92D050"/>
        <bgColor indexed="64"/>
      </patternFill>
    </fill>
    <fill>
      <patternFill patternType="solid">
        <fgColor rgb="FF00B050"/>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7" tint="0.39997558519241921"/>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s>
  <cellStyleXfs count="4">
    <xf numFmtId="0" fontId="0" fillId="0" borderId="0"/>
    <xf numFmtId="44" fontId="1" fillId="0" borderId="0" applyFont="0" applyFill="0" applyBorder="0" applyAlignment="0" applyProtection="0"/>
    <xf numFmtId="42" fontId="1" fillId="0" borderId="0" applyFont="0" applyFill="0" applyBorder="0" applyAlignment="0" applyProtection="0"/>
    <xf numFmtId="164" fontId="1" fillId="0" borderId="0" applyFont="0" applyFill="0" applyBorder="0" applyAlignment="0" applyProtection="0"/>
  </cellStyleXfs>
  <cellXfs count="88">
    <xf numFmtId="0" fontId="0" fillId="0" borderId="0" xfId="0"/>
    <xf numFmtId="0" fontId="0" fillId="0" borderId="0" xfId="0" applyAlignment="1">
      <alignment horizontal="center" vertical="center" wrapText="1"/>
    </xf>
    <xf numFmtId="165" fontId="3" fillId="3" borderId="1" xfId="2" applyNumberFormat="1" applyFont="1" applyFill="1" applyBorder="1" applyAlignment="1">
      <alignment horizontal="center" vertical="center" wrapText="1"/>
    </xf>
    <xf numFmtId="0" fontId="6" fillId="0" borderId="0" xfId="0" applyFont="1" applyAlignment="1">
      <alignment horizontal="center" vertical="center" wrapText="1"/>
    </xf>
    <xf numFmtId="0" fontId="6" fillId="0" borderId="1" xfId="0" applyFont="1" applyBorder="1" applyAlignment="1">
      <alignment horizontal="center" vertical="center" wrapText="1"/>
    </xf>
    <xf numFmtId="0" fontId="9" fillId="0" borderId="1" xfId="0" applyFont="1" applyBorder="1" applyAlignment="1">
      <alignment horizontal="center" vertical="center" wrapText="1"/>
    </xf>
    <xf numFmtId="166" fontId="6" fillId="0" borderId="1" xfId="1" applyNumberFormat="1" applyFont="1" applyFill="1" applyBorder="1" applyAlignment="1">
      <alignment horizontal="center" vertical="center" wrapText="1"/>
    </xf>
    <xf numFmtId="166" fontId="6" fillId="0" borderId="1" xfId="0" applyNumberFormat="1" applyFont="1" applyBorder="1" applyAlignment="1">
      <alignment horizontal="center" vertical="center" wrapText="1"/>
    </xf>
    <xf numFmtId="0" fontId="8" fillId="0" borderId="1" xfId="0" applyFont="1" applyBorder="1" applyAlignment="1">
      <alignment horizontal="center" vertical="center" wrapText="1"/>
    </xf>
    <xf numFmtId="0" fontId="11" fillId="0" borderId="1" xfId="0" applyFont="1" applyBorder="1" applyAlignment="1">
      <alignment wrapText="1"/>
    </xf>
    <xf numFmtId="165" fontId="3" fillId="3" borderId="8" xfId="2" applyNumberFormat="1" applyFont="1" applyFill="1" applyBorder="1" applyAlignment="1">
      <alignment horizontal="center" vertical="center" wrapText="1"/>
    </xf>
    <xf numFmtId="165" fontId="3" fillId="3" borderId="13" xfId="2" applyNumberFormat="1" applyFont="1" applyFill="1" applyBorder="1" applyAlignment="1">
      <alignment horizontal="center" vertical="center" wrapText="1"/>
    </xf>
    <xf numFmtId="165" fontId="3" fillId="3" borderId="14" xfId="2" applyNumberFormat="1" applyFont="1" applyFill="1" applyBorder="1" applyAlignment="1">
      <alignment horizontal="center" vertical="center" wrapText="1"/>
    </xf>
    <xf numFmtId="165" fontId="3" fillId="3" borderId="15" xfId="2" applyNumberFormat="1" applyFont="1" applyFill="1" applyBorder="1" applyAlignment="1">
      <alignment horizontal="center" vertical="center" wrapText="1"/>
    </xf>
    <xf numFmtId="165" fontId="3" fillId="3" borderId="7" xfId="2" applyNumberFormat="1" applyFont="1" applyFill="1" applyBorder="1" applyAlignment="1">
      <alignment horizontal="center" vertical="center" wrapText="1"/>
    </xf>
    <xf numFmtId="166" fontId="6" fillId="5" borderId="1" xfId="1" applyNumberFormat="1" applyFont="1" applyFill="1" applyBorder="1" applyAlignment="1">
      <alignment horizontal="center" vertical="center" wrapText="1"/>
    </xf>
    <xf numFmtId="0" fontId="6" fillId="5" borderId="1" xfId="0" applyFont="1" applyFill="1" applyBorder="1" applyAlignment="1">
      <alignment horizontal="center" vertical="center" wrapText="1"/>
    </xf>
    <xf numFmtId="167" fontId="6" fillId="5" borderId="1" xfId="0" applyNumberFormat="1" applyFont="1" applyFill="1" applyBorder="1" applyAlignment="1">
      <alignment horizontal="right" vertical="center" wrapText="1"/>
    </xf>
    <xf numFmtId="167" fontId="6" fillId="5" borderId="1" xfId="0" applyNumberFormat="1" applyFont="1" applyFill="1" applyBorder="1" applyAlignment="1">
      <alignment horizontal="right" wrapText="1"/>
    </xf>
    <xf numFmtId="167" fontId="0" fillId="5" borderId="1" xfId="0" applyNumberFormat="1" applyFill="1" applyBorder="1"/>
    <xf numFmtId="44" fontId="6" fillId="5" borderId="1" xfId="1" applyFont="1" applyFill="1" applyBorder="1" applyAlignment="1">
      <alignment horizontal="center" vertical="center" wrapText="1"/>
    </xf>
    <xf numFmtId="0" fontId="6" fillId="0" borderId="0" xfId="0" applyFont="1" applyFill="1" applyAlignment="1">
      <alignment horizontal="center" vertical="center" wrapText="1"/>
    </xf>
    <xf numFmtId="166" fontId="12" fillId="0" borderId="0" xfId="0" applyNumberFormat="1" applyFont="1" applyFill="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5" fillId="0" borderId="1" xfId="0" applyFont="1" applyBorder="1" applyAlignment="1">
      <alignment horizontal="center" vertical="center" wrapText="1"/>
    </xf>
    <xf numFmtId="166" fontId="0" fillId="0" borderId="1" xfId="1" applyNumberFormat="1" applyFont="1" applyBorder="1" applyAlignment="1">
      <alignment horizontal="center" vertical="center"/>
    </xf>
    <xf numFmtId="166" fontId="0" fillId="5" borderId="1" xfId="1" applyNumberFormat="1" applyFont="1" applyFill="1" applyBorder="1" applyAlignment="1">
      <alignment horizontal="center" vertical="center"/>
    </xf>
    <xf numFmtId="0" fontId="10" fillId="0" borderId="1" xfId="0" applyFont="1" applyBorder="1" applyAlignment="1">
      <alignment horizontal="center" vertical="top" wrapText="1"/>
    </xf>
    <xf numFmtId="166" fontId="0" fillId="0" borderId="1" xfId="1" applyNumberFormat="1" applyFont="1" applyBorder="1" applyAlignment="1">
      <alignment horizontal="center" vertical="center" wrapText="1"/>
    </xf>
    <xf numFmtId="166" fontId="0" fillId="0" borderId="8" xfId="1" applyNumberFormat="1" applyFont="1" applyBorder="1" applyAlignment="1">
      <alignment horizontal="center" vertical="center" wrapText="1"/>
    </xf>
    <xf numFmtId="165" fontId="3" fillId="3" borderId="20" xfId="2" applyNumberFormat="1" applyFont="1" applyFill="1" applyBorder="1" applyAlignment="1">
      <alignment horizontal="center" vertical="center" wrapText="1"/>
    </xf>
    <xf numFmtId="165" fontId="3" fillId="3" borderId="24" xfId="2" applyNumberFormat="1" applyFont="1" applyFill="1" applyBorder="1" applyAlignment="1">
      <alignment horizontal="center" vertical="center" wrapText="1"/>
    </xf>
    <xf numFmtId="166" fontId="0" fillId="0" borderId="13" xfId="0" applyNumberFormat="1" applyBorder="1" applyAlignment="1">
      <alignment horizontal="center" vertical="center" wrapText="1"/>
    </xf>
    <xf numFmtId="166" fontId="0" fillId="0" borderId="14" xfId="0" applyNumberFormat="1" applyBorder="1" applyAlignment="1">
      <alignment horizontal="center" vertical="center" wrapText="1"/>
    </xf>
    <xf numFmtId="166" fontId="0" fillId="5" borderId="15" xfId="1" applyNumberFormat="1" applyFont="1" applyFill="1" applyBorder="1" applyAlignment="1">
      <alignment horizontal="center" vertical="center" wrapText="1"/>
    </xf>
    <xf numFmtId="166" fontId="0" fillId="5" borderId="7" xfId="1" applyNumberFormat="1" applyFont="1" applyFill="1" applyBorder="1" applyAlignment="1">
      <alignment horizontal="center" vertical="center" wrapText="1"/>
    </xf>
    <xf numFmtId="166" fontId="0" fillId="0" borderId="13" xfId="1" applyNumberFormat="1" applyFont="1" applyBorder="1" applyAlignment="1">
      <alignment horizontal="center" vertical="center" wrapText="1"/>
    </xf>
    <xf numFmtId="166" fontId="0" fillId="0" borderId="14" xfId="1" applyNumberFormat="1" applyFont="1" applyBorder="1" applyAlignment="1">
      <alignment horizontal="center" vertical="center" wrapText="1"/>
    </xf>
    <xf numFmtId="0" fontId="14" fillId="0" borderId="0" xfId="0" applyFont="1" applyAlignment="1">
      <alignment horizontal="center" vertical="center" wrapText="1"/>
    </xf>
    <xf numFmtId="0" fontId="8" fillId="0" borderId="0" xfId="0" applyFont="1" applyAlignment="1">
      <alignment horizontal="center" vertical="center"/>
    </xf>
    <xf numFmtId="166" fontId="0" fillId="5" borderId="28" xfId="1" applyNumberFormat="1" applyFont="1" applyFill="1" applyBorder="1" applyAlignment="1">
      <alignment horizontal="center" vertical="center" wrapText="1"/>
    </xf>
    <xf numFmtId="166" fontId="0" fillId="0" borderId="27" xfId="1" applyNumberFormat="1" applyFont="1" applyBorder="1" applyAlignment="1">
      <alignment horizontal="center" vertical="center" wrapText="1"/>
    </xf>
    <xf numFmtId="166" fontId="0" fillId="0" borderId="19" xfId="1" applyNumberFormat="1" applyFont="1" applyBorder="1" applyAlignment="1">
      <alignment horizontal="center" vertical="center" wrapText="1"/>
    </xf>
    <xf numFmtId="0" fontId="10" fillId="0" borderId="2" xfId="0" applyFont="1" applyBorder="1" applyAlignment="1">
      <alignment horizontal="center" vertical="top" wrapText="1"/>
    </xf>
    <xf numFmtId="0" fontId="0" fillId="0" borderId="2" xfId="0" applyBorder="1" applyAlignment="1">
      <alignment horizontal="center" vertical="center" wrapText="1"/>
    </xf>
    <xf numFmtId="166" fontId="13" fillId="7" borderId="8" xfId="0" applyNumberFormat="1" applyFont="1" applyFill="1" applyBorder="1" applyAlignment="1">
      <alignment horizontal="center" vertical="center" wrapText="1"/>
    </xf>
    <xf numFmtId="166" fontId="13" fillId="7" borderId="29" xfId="0" applyNumberFormat="1" applyFont="1" applyFill="1" applyBorder="1" applyAlignment="1">
      <alignment horizontal="center" vertical="center" wrapText="1"/>
    </xf>
    <xf numFmtId="166" fontId="0" fillId="5" borderId="23" xfId="1" applyNumberFormat="1" applyFont="1" applyFill="1" applyBorder="1" applyAlignment="1">
      <alignment horizontal="center" vertical="center" wrapText="1"/>
    </xf>
    <xf numFmtId="166" fontId="6" fillId="0" borderId="10" xfId="1" applyNumberFormat="1" applyFont="1" applyBorder="1" applyAlignment="1">
      <alignment horizontal="center" vertical="center" wrapText="1"/>
    </xf>
    <xf numFmtId="166" fontId="6" fillId="0" borderId="11" xfId="1" applyNumberFormat="1" applyFont="1" applyBorder="1" applyAlignment="1">
      <alignment horizontal="center" vertical="center" wrapText="1"/>
    </xf>
    <xf numFmtId="166" fontId="6" fillId="5" borderId="12" xfId="1" applyNumberFormat="1" applyFont="1" applyFill="1" applyBorder="1" applyAlignment="1">
      <alignment horizontal="center" vertical="center" wrapText="1"/>
    </xf>
    <xf numFmtId="166" fontId="0" fillId="0" borderId="0" xfId="0" applyNumberFormat="1"/>
    <xf numFmtId="166" fontId="6" fillId="0" borderId="0" xfId="0" applyNumberFormat="1" applyFont="1" applyAlignment="1">
      <alignment horizontal="center" vertical="center" wrapText="1"/>
    </xf>
    <xf numFmtId="169" fontId="9" fillId="7" borderId="1" xfId="0" applyNumberFormat="1" applyFont="1" applyFill="1" applyBorder="1" applyAlignment="1">
      <alignment horizontal="center" vertical="center" wrapText="1"/>
    </xf>
    <xf numFmtId="0" fontId="6" fillId="0" borderId="1" xfId="0" applyFont="1" applyBorder="1" applyAlignment="1">
      <alignment horizontal="center" vertical="center" wrapText="1"/>
    </xf>
    <xf numFmtId="0" fontId="7" fillId="2" borderId="4"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3" borderId="18" xfId="0" applyFont="1" applyFill="1" applyBorder="1" applyAlignment="1">
      <alignment horizontal="center" vertical="center" wrapText="1"/>
    </xf>
    <xf numFmtId="0" fontId="7" fillId="3" borderId="2" xfId="0" applyFont="1" applyFill="1" applyBorder="1" applyAlignment="1">
      <alignment horizontal="center" vertical="center" wrapText="1"/>
    </xf>
    <xf numFmtId="165" fontId="7" fillId="3" borderId="19" xfId="2" applyNumberFormat="1" applyFont="1" applyFill="1" applyBorder="1" applyAlignment="1">
      <alignment horizontal="center" vertical="center" wrapText="1"/>
    </xf>
    <xf numFmtId="165" fontId="7" fillId="3" borderId="3" xfId="2" applyNumberFormat="1" applyFont="1" applyFill="1" applyBorder="1" applyAlignment="1">
      <alignment horizontal="center" vertical="center" wrapText="1"/>
    </xf>
    <xf numFmtId="165" fontId="7" fillId="3" borderId="17" xfId="2" applyNumberFormat="1" applyFont="1" applyFill="1" applyBorder="1" applyAlignment="1">
      <alignment horizontal="center" vertical="center" wrapText="1"/>
    </xf>
    <xf numFmtId="165" fontId="7" fillId="3" borderId="9" xfId="2" applyNumberFormat="1" applyFont="1" applyFill="1" applyBorder="1" applyAlignment="1">
      <alignment horizontal="center" vertical="center" wrapText="1"/>
    </xf>
    <xf numFmtId="165" fontId="7" fillId="3" borderId="16" xfId="2" applyNumberFormat="1" applyFont="1" applyFill="1" applyBorder="1" applyAlignment="1">
      <alignment horizontal="center" vertical="center" wrapText="1"/>
    </xf>
    <xf numFmtId="165" fontId="7" fillId="3" borderId="17" xfId="0" applyNumberFormat="1" applyFont="1" applyFill="1" applyBorder="1" applyAlignment="1">
      <alignment horizontal="center" vertical="center" wrapText="1"/>
    </xf>
    <xf numFmtId="165" fontId="7" fillId="3" borderId="9" xfId="0" applyNumberFormat="1" applyFont="1" applyFill="1" applyBorder="1" applyAlignment="1">
      <alignment horizontal="center" vertical="center" wrapText="1"/>
    </xf>
    <xf numFmtId="165" fontId="7" fillId="3" borderId="16"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165" fontId="4" fillId="3" borderId="1" xfId="2" applyNumberFormat="1" applyFont="1" applyFill="1" applyBorder="1" applyAlignment="1">
      <alignment horizontal="center" vertical="center" wrapText="1"/>
    </xf>
    <xf numFmtId="0" fontId="3" fillId="3" borderId="1"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3" xfId="0" applyFont="1" applyFill="1" applyBorder="1" applyAlignment="1">
      <alignment horizontal="center" vertical="center" wrapText="1"/>
    </xf>
    <xf numFmtId="168" fontId="0" fillId="6" borderId="1" xfId="0" applyNumberFormat="1" applyFill="1" applyBorder="1" applyAlignment="1">
      <alignment vertical="center"/>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165" fontId="4" fillId="3" borderId="25" xfId="2" applyNumberFormat="1" applyFont="1" applyFill="1" applyBorder="1" applyAlignment="1">
      <alignment horizontal="center" vertical="center" wrapText="1"/>
    </xf>
    <xf numFmtId="165" fontId="4" fillId="3" borderId="18" xfId="2" applyNumberFormat="1" applyFont="1" applyFill="1" applyBorder="1" applyAlignment="1">
      <alignment horizontal="center" vertical="center" wrapText="1"/>
    </xf>
    <xf numFmtId="165" fontId="4" fillId="3" borderId="26" xfId="2" applyNumberFormat="1" applyFont="1" applyFill="1" applyBorder="1" applyAlignment="1">
      <alignment horizontal="center" vertical="center" wrapText="1"/>
    </xf>
    <xf numFmtId="165" fontId="4" fillId="3" borderId="16" xfId="2" applyNumberFormat="1" applyFont="1" applyFill="1" applyBorder="1" applyAlignment="1">
      <alignment horizontal="center" vertical="center" wrapText="1"/>
    </xf>
    <xf numFmtId="165" fontId="4" fillId="3" borderId="17" xfId="2" applyNumberFormat="1" applyFont="1" applyFill="1" applyBorder="1" applyAlignment="1">
      <alignment horizontal="center" vertical="center" wrapText="1"/>
    </xf>
    <xf numFmtId="165" fontId="4" fillId="3" borderId="8" xfId="2" applyNumberFormat="1" applyFont="1" applyFill="1" applyBorder="1" applyAlignment="1">
      <alignment horizontal="center" vertical="center" wrapText="1"/>
    </xf>
  </cellXfs>
  <cellStyles count="4">
    <cellStyle name="Moneda" xfId="1" builtinId="4"/>
    <cellStyle name="Moneda [0] 2" xfId="2" xr:uid="{00000000-0005-0000-0000-000001000000}"/>
    <cellStyle name="Moneda 2" xfId="3" xr:uid="{00000000-0005-0000-0000-00000200000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B52"/>
  <sheetViews>
    <sheetView tabSelected="1" zoomScale="78" zoomScaleNormal="78" workbookViewId="0">
      <selection activeCell="P52" sqref="P52"/>
    </sheetView>
  </sheetViews>
  <sheetFormatPr baseColWidth="10" defaultColWidth="11.42578125" defaultRowHeight="15" x14ac:dyDescent="0.25"/>
  <cols>
    <col min="1" max="1" width="5" style="3" customWidth="1"/>
    <col min="2" max="2" width="11.42578125" style="3"/>
    <col min="3" max="3" width="17.5703125" style="3" customWidth="1"/>
    <col min="4" max="4" width="53.140625" style="3" customWidth="1"/>
    <col min="5" max="5" width="12.85546875" style="3" customWidth="1"/>
    <col min="6" max="6" width="11.42578125" style="3" customWidth="1"/>
    <col min="7" max="8" width="18.28515625" style="3" customWidth="1"/>
    <col min="9" max="11" width="16" style="3" customWidth="1"/>
    <col min="12" max="17" width="15.7109375" style="3" customWidth="1"/>
    <col min="18" max="20" width="15.28515625" style="3" customWidth="1"/>
    <col min="21" max="48" width="16.5703125" style="3" customWidth="1"/>
    <col min="49" max="49" width="22.5703125" style="3" customWidth="1"/>
    <col min="50" max="50" width="19.42578125" style="3" customWidth="1"/>
    <col min="51" max="16384" width="11.42578125" style="3"/>
  </cols>
  <sheetData>
    <row r="1" spans="1:54" ht="48.75" customHeight="1" x14ac:dyDescent="0.25">
      <c r="A1" s="59" t="s">
        <v>0</v>
      </c>
      <c r="B1" s="59"/>
      <c r="C1" s="59"/>
      <c r="D1" s="59"/>
      <c r="E1" s="59"/>
      <c r="F1" s="59"/>
      <c r="G1" s="59"/>
      <c r="H1" s="59"/>
      <c r="I1" s="59"/>
      <c r="J1" s="59"/>
      <c r="K1" s="59"/>
      <c r="L1" s="59"/>
      <c r="M1" s="59"/>
      <c r="N1" s="59"/>
      <c r="O1" s="59"/>
      <c r="P1" s="59"/>
      <c r="Q1" s="59"/>
      <c r="R1" s="59"/>
      <c r="S1" s="59"/>
      <c r="T1" s="59"/>
      <c r="U1" s="60"/>
      <c r="V1" s="60"/>
      <c r="W1" s="60"/>
      <c r="X1" s="60"/>
      <c r="Y1" s="60"/>
      <c r="Z1" s="60"/>
      <c r="AA1" s="60"/>
      <c r="AB1" s="60"/>
      <c r="AC1" s="60"/>
      <c r="AD1" s="60"/>
      <c r="AE1" s="60"/>
      <c r="AF1" s="60"/>
      <c r="AG1" s="60"/>
      <c r="AH1" s="60"/>
      <c r="AI1" s="60"/>
      <c r="AJ1" s="60"/>
      <c r="AK1" s="60"/>
      <c r="AL1" s="60"/>
      <c r="AM1" s="60"/>
      <c r="AN1" s="60"/>
      <c r="AO1" s="60"/>
      <c r="AP1" s="60"/>
      <c r="AQ1" s="60"/>
      <c r="AR1" s="60"/>
      <c r="AS1" s="60"/>
      <c r="AT1" s="60"/>
      <c r="AU1" s="60"/>
      <c r="AV1" s="60"/>
      <c r="AW1" s="60"/>
      <c r="AX1" s="60"/>
    </row>
    <row r="2" spans="1:54" ht="24" customHeight="1" x14ac:dyDescent="0.25">
      <c r="A2" s="71" t="s">
        <v>11</v>
      </c>
      <c r="B2" s="71"/>
      <c r="C2" s="71"/>
      <c r="D2" s="71"/>
      <c r="E2" s="71"/>
      <c r="F2" s="71"/>
      <c r="G2" s="71"/>
      <c r="H2" s="71"/>
      <c r="I2" s="71"/>
      <c r="J2" s="71"/>
      <c r="K2" s="71"/>
      <c r="L2" s="71"/>
      <c r="M2" s="71"/>
      <c r="N2" s="71"/>
      <c r="O2" s="71"/>
      <c r="P2" s="71"/>
      <c r="Q2" s="71"/>
      <c r="R2" s="71"/>
      <c r="S2" s="71"/>
      <c r="T2" s="71"/>
      <c r="U2"/>
      <c r="V2"/>
      <c r="W2"/>
      <c r="X2"/>
      <c r="Y2"/>
      <c r="Z2"/>
      <c r="AA2"/>
      <c r="AB2"/>
      <c r="AC2"/>
      <c r="AD2"/>
      <c r="AE2"/>
      <c r="AF2"/>
      <c r="AG2"/>
      <c r="AH2"/>
      <c r="AI2"/>
      <c r="AJ2"/>
      <c r="AK2"/>
      <c r="AL2"/>
      <c r="AM2"/>
      <c r="AN2"/>
      <c r="AO2"/>
      <c r="AP2"/>
      <c r="AQ2"/>
      <c r="AR2"/>
      <c r="AS2"/>
      <c r="AT2"/>
      <c r="AU2"/>
      <c r="AV2"/>
      <c r="AW2"/>
      <c r="AX2"/>
      <c r="AY2"/>
    </row>
    <row r="3" spans="1:54" ht="15.75" customHeight="1" x14ac:dyDescent="0.25">
      <c r="A3" s="73" t="s">
        <v>1</v>
      </c>
      <c r="B3" s="73" t="s">
        <v>2</v>
      </c>
      <c r="C3" s="73" t="s">
        <v>3</v>
      </c>
      <c r="D3" s="73" t="s">
        <v>4</v>
      </c>
      <c r="E3" s="73" t="s">
        <v>5</v>
      </c>
      <c r="F3" s="73" t="s">
        <v>6</v>
      </c>
      <c r="G3" s="72" t="s">
        <v>92</v>
      </c>
      <c r="H3" s="72"/>
      <c r="I3" s="72"/>
      <c r="J3" s="72" t="s">
        <v>7</v>
      </c>
      <c r="K3" s="72"/>
      <c r="L3" s="72"/>
      <c r="M3" s="72" t="s">
        <v>8</v>
      </c>
      <c r="N3" s="72"/>
      <c r="O3" s="72"/>
      <c r="P3" s="72" t="s">
        <v>9</v>
      </c>
      <c r="Q3" s="72"/>
      <c r="R3" s="72"/>
      <c r="S3" s="72" t="s">
        <v>10</v>
      </c>
      <c r="T3" s="72"/>
    </row>
    <row r="4" spans="1:54" ht="36" customHeight="1" x14ac:dyDescent="0.25">
      <c r="A4" s="73"/>
      <c r="B4" s="73"/>
      <c r="C4" s="73"/>
      <c r="D4" s="73"/>
      <c r="E4" s="73"/>
      <c r="F4" s="73"/>
      <c r="G4" s="2" t="s">
        <v>93</v>
      </c>
      <c r="H4" s="2" t="s">
        <v>94</v>
      </c>
      <c r="I4" s="2" t="s">
        <v>95</v>
      </c>
      <c r="J4" s="2" t="s">
        <v>93</v>
      </c>
      <c r="K4" s="2" t="s">
        <v>94</v>
      </c>
      <c r="L4" s="2" t="s">
        <v>95</v>
      </c>
      <c r="M4" s="2" t="s">
        <v>93</v>
      </c>
      <c r="N4" s="2" t="s">
        <v>94</v>
      </c>
      <c r="O4" s="2" t="s">
        <v>95</v>
      </c>
      <c r="P4" s="2" t="s">
        <v>93</v>
      </c>
      <c r="Q4" s="2" t="s">
        <v>94</v>
      </c>
      <c r="R4" s="2" t="s">
        <v>95</v>
      </c>
      <c r="S4" s="72"/>
      <c r="T4" s="72"/>
    </row>
    <row r="5" spans="1:54" ht="163.5" customHeight="1" x14ac:dyDescent="0.25">
      <c r="A5" s="23">
        <v>1</v>
      </c>
      <c r="B5" s="23">
        <v>551015</v>
      </c>
      <c r="C5" s="24" t="s">
        <v>12</v>
      </c>
      <c r="D5" s="25" t="s">
        <v>13</v>
      </c>
      <c r="E5" s="23" t="s">
        <v>14</v>
      </c>
      <c r="F5" s="23">
        <v>1</v>
      </c>
      <c r="G5" s="26">
        <f>I5/1.19</f>
        <v>840.3361344537816</v>
      </c>
      <c r="H5" s="7">
        <v>159.66</v>
      </c>
      <c r="I5" s="27">
        <v>1000</v>
      </c>
      <c r="J5" s="26">
        <v>450</v>
      </c>
      <c r="K5" s="26">
        <f>J5*0.19</f>
        <v>85.5</v>
      </c>
      <c r="L5" s="27">
        <f>J5+K5</f>
        <v>535.5</v>
      </c>
      <c r="M5" s="26">
        <v>527</v>
      </c>
      <c r="N5" s="26">
        <f>M5*0.19</f>
        <v>100.13</v>
      </c>
      <c r="O5" s="27">
        <f>M5+N5</f>
        <v>627.13</v>
      </c>
      <c r="P5" s="26">
        <v>493.5</v>
      </c>
      <c r="Q5" s="26">
        <f>P5*0.19</f>
        <v>93.765000000000001</v>
      </c>
      <c r="R5" s="27">
        <f>P5+Q5</f>
        <v>587.26499999999999</v>
      </c>
      <c r="S5" s="77">
        <f>AVERAGE(I5,L5,O5,R5)</f>
        <v>687.47375</v>
      </c>
      <c r="T5" s="77"/>
      <c r="U5" s="53">
        <f>ROUNDUP(S5,0)</f>
        <v>688</v>
      </c>
    </row>
    <row r="6" spans="1:54" ht="15.75" thickBot="1" x14ac:dyDescent="0.3">
      <c r="A6"/>
      <c r="B6"/>
      <c r="C6"/>
      <c r="D6"/>
      <c r="E6"/>
      <c r="F6"/>
      <c r="G6"/>
      <c r="H6" s="52"/>
      <c r="I6" s="52"/>
      <c r="J6" s="52"/>
      <c r="K6"/>
      <c r="L6" s="52"/>
      <c r="M6" s="52"/>
      <c r="N6"/>
      <c r="O6"/>
      <c r="P6"/>
      <c r="Q6"/>
      <c r="R6"/>
      <c r="S6"/>
      <c r="T6"/>
      <c r="U6"/>
    </row>
    <row r="7" spans="1:54" ht="29.25" customHeight="1" thickBot="1" x14ac:dyDescent="0.3">
      <c r="A7" s="78" t="s">
        <v>96</v>
      </c>
      <c r="B7" s="79"/>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80"/>
    </row>
    <row r="8" spans="1:54" x14ac:dyDescent="0.25">
      <c r="A8" s="61" t="s">
        <v>1</v>
      </c>
      <c r="B8" s="61" t="s">
        <v>2</v>
      </c>
      <c r="C8" s="61" t="s">
        <v>3</v>
      </c>
      <c r="D8" s="61" t="s">
        <v>4</v>
      </c>
      <c r="E8" s="61" t="s">
        <v>5</v>
      </c>
      <c r="F8" s="61" t="s">
        <v>6</v>
      </c>
      <c r="G8" s="65" t="s">
        <v>16</v>
      </c>
      <c r="H8" s="66"/>
      <c r="I8" s="67"/>
      <c r="J8" s="68" t="s">
        <v>17</v>
      </c>
      <c r="K8" s="69"/>
      <c r="L8" s="70"/>
      <c r="M8" s="68" t="s">
        <v>88</v>
      </c>
      <c r="N8" s="69"/>
      <c r="O8" s="70"/>
      <c r="P8" s="65" t="s">
        <v>18</v>
      </c>
      <c r="Q8" s="66"/>
      <c r="R8" s="67"/>
      <c r="S8" s="65" t="s">
        <v>19</v>
      </c>
      <c r="T8" s="66"/>
      <c r="U8" s="67"/>
      <c r="V8" s="65" t="s">
        <v>20</v>
      </c>
      <c r="W8" s="66"/>
      <c r="X8" s="67"/>
      <c r="Y8" s="65" t="s">
        <v>21</v>
      </c>
      <c r="Z8" s="66"/>
      <c r="AA8" s="67"/>
      <c r="AB8" s="65" t="s">
        <v>22</v>
      </c>
      <c r="AC8" s="66"/>
      <c r="AD8" s="67"/>
      <c r="AE8" s="65" t="s">
        <v>23</v>
      </c>
      <c r="AF8" s="66"/>
      <c r="AG8" s="67"/>
      <c r="AH8" s="65" t="s">
        <v>24</v>
      </c>
      <c r="AI8" s="66"/>
      <c r="AJ8" s="67"/>
      <c r="AK8" s="65" t="s">
        <v>25</v>
      </c>
      <c r="AL8" s="66"/>
      <c r="AM8" s="67"/>
      <c r="AN8" s="65" t="s">
        <v>89</v>
      </c>
      <c r="AO8" s="66"/>
      <c r="AP8" s="67"/>
      <c r="AQ8" s="65" t="s">
        <v>90</v>
      </c>
      <c r="AR8" s="66"/>
      <c r="AS8" s="67"/>
      <c r="AT8" s="65" t="s">
        <v>91</v>
      </c>
      <c r="AU8" s="66"/>
      <c r="AV8" s="67"/>
      <c r="AW8" s="63" t="s">
        <v>10</v>
      </c>
      <c r="AX8"/>
    </row>
    <row r="9" spans="1:54" ht="57" customHeight="1" thickBot="1" x14ac:dyDescent="0.3">
      <c r="A9" s="62"/>
      <c r="B9" s="62"/>
      <c r="C9" s="62"/>
      <c r="D9" s="62"/>
      <c r="E9" s="62"/>
      <c r="F9" s="62"/>
      <c r="G9" s="11" t="s">
        <v>93</v>
      </c>
      <c r="H9" s="12" t="s">
        <v>94</v>
      </c>
      <c r="I9" s="13" t="s">
        <v>95</v>
      </c>
      <c r="J9" s="11" t="s">
        <v>93</v>
      </c>
      <c r="K9" s="12" t="s">
        <v>94</v>
      </c>
      <c r="L9" s="13" t="s">
        <v>95</v>
      </c>
      <c r="M9" s="11" t="s">
        <v>93</v>
      </c>
      <c r="N9" s="12" t="s">
        <v>94</v>
      </c>
      <c r="O9" s="13" t="s">
        <v>95</v>
      </c>
      <c r="P9" s="11" t="s">
        <v>93</v>
      </c>
      <c r="Q9" s="12" t="s">
        <v>94</v>
      </c>
      <c r="R9" s="13" t="s">
        <v>95</v>
      </c>
      <c r="S9" s="11" t="s">
        <v>93</v>
      </c>
      <c r="T9" s="12" t="s">
        <v>94</v>
      </c>
      <c r="U9" s="13" t="s">
        <v>95</v>
      </c>
      <c r="V9" s="11" t="s">
        <v>93</v>
      </c>
      <c r="W9" s="12" t="s">
        <v>94</v>
      </c>
      <c r="X9" s="13" t="s">
        <v>95</v>
      </c>
      <c r="Y9" s="11" t="s">
        <v>93</v>
      </c>
      <c r="Z9" s="12" t="s">
        <v>94</v>
      </c>
      <c r="AA9" s="13" t="s">
        <v>95</v>
      </c>
      <c r="AB9" s="11" t="s">
        <v>93</v>
      </c>
      <c r="AC9" s="12" t="s">
        <v>94</v>
      </c>
      <c r="AD9" s="13" t="s">
        <v>95</v>
      </c>
      <c r="AE9" s="11" t="s">
        <v>93</v>
      </c>
      <c r="AF9" s="12" t="s">
        <v>94</v>
      </c>
      <c r="AG9" s="13" t="s">
        <v>95</v>
      </c>
      <c r="AH9" s="11" t="s">
        <v>93</v>
      </c>
      <c r="AI9" s="12" t="s">
        <v>94</v>
      </c>
      <c r="AJ9" s="13" t="s">
        <v>95</v>
      </c>
      <c r="AK9" s="11" t="s">
        <v>93</v>
      </c>
      <c r="AL9" s="12" t="s">
        <v>94</v>
      </c>
      <c r="AM9" s="13" t="s">
        <v>95</v>
      </c>
      <c r="AN9" s="11" t="s">
        <v>93</v>
      </c>
      <c r="AO9" s="12" t="s">
        <v>94</v>
      </c>
      <c r="AP9" s="13" t="s">
        <v>95</v>
      </c>
      <c r="AQ9" s="11" t="s">
        <v>93</v>
      </c>
      <c r="AR9" s="12" t="s">
        <v>94</v>
      </c>
      <c r="AS9" s="13" t="s">
        <v>95</v>
      </c>
      <c r="AT9" s="11" t="s">
        <v>93</v>
      </c>
      <c r="AU9" s="12" t="s">
        <v>94</v>
      </c>
      <c r="AV9" s="13" t="s">
        <v>95</v>
      </c>
      <c r="AW9" s="64"/>
      <c r="AX9"/>
      <c r="AZ9"/>
      <c r="BA9"/>
      <c r="BB9"/>
    </row>
    <row r="10" spans="1:54" x14ac:dyDescent="0.25">
      <c r="A10" s="56"/>
      <c r="B10" s="57"/>
      <c r="C10" s="57"/>
      <c r="D10" s="57"/>
      <c r="E10" s="57"/>
      <c r="F10" s="57"/>
      <c r="G10" s="57"/>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57"/>
      <c r="AK10" s="57"/>
      <c r="AL10" s="57"/>
      <c r="AM10" s="57"/>
      <c r="AN10" s="57"/>
      <c r="AO10" s="57"/>
      <c r="AP10" s="57"/>
      <c r="AQ10" s="57"/>
      <c r="AR10" s="57"/>
      <c r="AS10" s="57"/>
      <c r="AT10" s="57"/>
      <c r="AU10" s="57"/>
      <c r="AV10" s="57"/>
      <c r="AW10" s="57"/>
      <c r="AX10" s="58"/>
      <c r="AZ10"/>
      <c r="BA10"/>
      <c r="BB10"/>
    </row>
    <row r="11" spans="1:54" ht="150" x14ac:dyDescent="0.25">
      <c r="A11" s="4">
        <v>2</v>
      </c>
      <c r="B11" s="4">
        <v>561016</v>
      </c>
      <c r="C11" s="4" t="s">
        <v>26</v>
      </c>
      <c r="D11" s="5" t="s">
        <v>27</v>
      </c>
      <c r="E11" s="4" t="s">
        <v>14</v>
      </c>
      <c r="F11" s="4">
        <v>1</v>
      </c>
      <c r="G11" s="7">
        <f>I11/1.19</f>
        <v>571428.57142857148</v>
      </c>
      <c r="H11" s="7">
        <f>G11*0.19</f>
        <v>108571.42857142858</v>
      </c>
      <c r="I11" s="15">
        <v>680000</v>
      </c>
      <c r="J11" s="6">
        <f>L11/1.19</f>
        <v>552000</v>
      </c>
      <c r="K11" s="6">
        <f>J11*0.19</f>
        <v>104880</v>
      </c>
      <c r="L11" s="15">
        <v>656880</v>
      </c>
      <c r="M11" s="6">
        <f>O11/1.19</f>
        <v>542016.80672268907</v>
      </c>
      <c r="N11" s="6">
        <f>M11*0.19</f>
        <v>102983.19327731093</v>
      </c>
      <c r="O11" s="15">
        <f>645000</f>
        <v>645000</v>
      </c>
      <c r="P11" s="6">
        <f>R11/1.19</f>
        <v>524906.72268907563</v>
      </c>
      <c r="Q11" s="6">
        <f>P11*0.19</f>
        <v>99732.277310924372</v>
      </c>
      <c r="R11" s="15">
        <v>624639</v>
      </c>
      <c r="S11" s="6">
        <f>U11/1.19</f>
        <v>0</v>
      </c>
      <c r="T11" s="6">
        <f>S11*0.19</f>
        <v>0</v>
      </c>
      <c r="U11" s="15"/>
      <c r="V11" s="6">
        <f>X11/1.19</f>
        <v>0</v>
      </c>
      <c r="W11" s="6">
        <f>V11*0.19</f>
        <v>0</v>
      </c>
      <c r="X11" s="15"/>
      <c r="Y11" s="6">
        <f>AA11/1.19</f>
        <v>0</v>
      </c>
      <c r="Z11" s="6">
        <f>Y11*0.19</f>
        <v>0</v>
      </c>
      <c r="AA11" s="15"/>
      <c r="AB11" s="6">
        <f>AD11/1.19</f>
        <v>0</v>
      </c>
      <c r="AC11" s="6">
        <f>AB11*0.19</f>
        <v>0</v>
      </c>
      <c r="AD11" s="15"/>
      <c r="AE11" s="6">
        <f>AG11/1.19</f>
        <v>0</v>
      </c>
      <c r="AF11" s="6">
        <f>AE11*0.19</f>
        <v>0</v>
      </c>
      <c r="AG11" s="15"/>
      <c r="AH11" s="6">
        <f>AJ11/1.19</f>
        <v>0</v>
      </c>
      <c r="AI11" s="6">
        <f>AH11*0.19</f>
        <v>0</v>
      </c>
      <c r="AJ11" s="15"/>
      <c r="AK11" s="6">
        <f>AM11/1.19</f>
        <v>0</v>
      </c>
      <c r="AL11" s="6">
        <f>AK11*0.19</f>
        <v>0</v>
      </c>
      <c r="AM11" s="15"/>
      <c r="AN11" s="6">
        <f>AP11/1.19</f>
        <v>0</v>
      </c>
      <c r="AO11" s="6">
        <f>AN11*0.19</f>
        <v>0</v>
      </c>
      <c r="AP11" s="15"/>
      <c r="AQ11" s="6">
        <f>AS11/1.19</f>
        <v>0</v>
      </c>
      <c r="AR11" s="6">
        <f>AQ11*0.19</f>
        <v>0</v>
      </c>
      <c r="AS11" s="15"/>
      <c r="AT11" s="6">
        <f>AV11/1.19</f>
        <v>0</v>
      </c>
      <c r="AU11" s="6">
        <f>AT11*0.19</f>
        <v>0</v>
      </c>
      <c r="AV11" s="15"/>
      <c r="AW11" s="54">
        <f>AVERAGE(I11,L11,O11,R11,U11,X11,AA11,AD11,AG11,AJ11,AM11,AP11,AS11,AV11)</f>
        <v>651629.75</v>
      </c>
      <c r="AX11" s="52">
        <f t="shared" ref="AX11:AX12" si="0">ROUNDUP(AW11,0)</f>
        <v>651630</v>
      </c>
      <c r="AZ11"/>
      <c r="BA11"/>
      <c r="BB11"/>
    </row>
    <row r="12" spans="1:54" ht="50.25" customHeight="1" x14ac:dyDescent="0.25">
      <c r="A12" s="4">
        <v>3</v>
      </c>
      <c r="B12" s="4">
        <v>21102302</v>
      </c>
      <c r="C12" s="4" t="s">
        <v>28</v>
      </c>
      <c r="D12" s="8" t="s">
        <v>29</v>
      </c>
      <c r="E12" s="4" t="s">
        <v>14</v>
      </c>
      <c r="F12" s="4">
        <v>1</v>
      </c>
      <c r="G12" s="7">
        <f t="shared" ref="G12:G44" si="1">I12/1.19</f>
        <v>11764.705882352942</v>
      </c>
      <c r="H12" s="7">
        <f t="shared" ref="H12:H44" si="2">G12*0.19</f>
        <v>2235.294117647059</v>
      </c>
      <c r="I12" s="15">
        <v>14000</v>
      </c>
      <c r="J12" s="6">
        <f t="shared" ref="J12:J44" si="3">L12/1.19</f>
        <v>21449.579831932773</v>
      </c>
      <c r="K12" s="6">
        <f t="shared" ref="K12:K44" si="4">J12*0.19</f>
        <v>4075.4201680672268</v>
      </c>
      <c r="L12" s="17">
        <v>25525</v>
      </c>
      <c r="M12" s="6">
        <f t="shared" ref="M12:M44" si="5">O12/1.19</f>
        <v>11680.672268907563</v>
      </c>
      <c r="N12" s="6">
        <f t="shared" ref="N12:N44" si="6">M12*0.19</f>
        <v>2219.3277310924368</v>
      </c>
      <c r="O12" s="17">
        <f>13900</f>
        <v>13900</v>
      </c>
      <c r="P12" s="6">
        <f t="shared" ref="P12:P44" si="7">R12/1.19</f>
        <v>0</v>
      </c>
      <c r="Q12" s="6">
        <f t="shared" ref="Q12:Q44" si="8">P12*0.19</f>
        <v>0</v>
      </c>
      <c r="R12" s="16"/>
      <c r="S12" s="6">
        <f t="shared" ref="S12:S44" si="9">U12/1.19</f>
        <v>25966.386554621851</v>
      </c>
      <c r="T12" s="6">
        <f t="shared" ref="T12:T44" si="10">S12*0.19</f>
        <v>4933.6134453781515</v>
      </c>
      <c r="U12" s="20">
        <v>30900</v>
      </c>
      <c r="V12" s="6">
        <f t="shared" ref="V12:V44" si="11">X12/1.19</f>
        <v>0</v>
      </c>
      <c r="W12" s="6">
        <f t="shared" ref="W12:W44" si="12">V12*0.19</f>
        <v>0</v>
      </c>
      <c r="X12" s="20"/>
      <c r="Y12" s="6">
        <f t="shared" ref="Y12:Y44" si="13">AA12/1.19</f>
        <v>25210.084033613446</v>
      </c>
      <c r="Z12" s="6">
        <f t="shared" ref="Z12:Z44" si="14">Y12*0.19</f>
        <v>4789.9159663865548</v>
      </c>
      <c r="AA12" s="20">
        <v>30000</v>
      </c>
      <c r="AB12" s="6">
        <f t="shared" ref="AB12:AB44" si="15">AD12/1.19</f>
        <v>14285.714285714286</v>
      </c>
      <c r="AC12" s="6">
        <f t="shared" ref="AC12:AC44" si="16">AB12*0.19</f>
        <v>2714.2857142857142</v>
      </c>
      <c r="AD12" s="20">
        <v>17000</v>
      </c>
      <c r="AE12" s="6">
        <f t="shared" ref="AE12:AE44" si="17">AG12/1.19</f>
        <v>16806.722689075632</v>
      </c>
      <c r="AF12" s="6">
        <f t="shared" ref="AF12:AF44" si="18">AE12*0.19</f>
        <v>3193.2773109243699</v>
      </c>
      <c r="AG12" s="20">
        <v>20000</v>
      </c>
      <c r="AH12" s="6">
        <f t="shared" ref="AH12:AH44" si="19">AJ12/1.19</f>
        <v>0</v>
      </c>
      <c r="AI12" s="6">
        <f t="shared" ref="AI12:AI44" si="20">AH12*0.19</f>
        <v>0</v>
      </c>
      <c r="AJ12" s="20"/>
      <c r="AK12" s="6">
        <f t="shared" ref="AK12:AK44" si="21">AM12/1.19</f>
        <v>0</v>
      </c>
      <c r="AL12" s="6">
        <f t="shared" ref="AL12:AL44" si="22">AK12*0.19</f>
        <v>0</v>
      </c>
      <c r="AM12" s="20"/>
      <c r="AN12" s="6">
        <f t="shared" ref="AN12:AN44" si="23">AP12/1.19</f>
        <v>0</v>
      </c>
      <c r="AO12" s="6">
        <f t="shared" ref="AO12:AO44" si="24">AN12*0.19</f>
        <v>0</v>
      </c>
      <c r="AP12" s="20"/>
      <c r="AQ12" s="6">
        <f t="shared" ref="AQ12:AQ44" si="25">AS12/1.19</f>
        <v>0</v>
      </c>
      <c r="AR12" s="6">
        <f t="shared" ref="AR12:AR44" si="26">AQ12*0.19</f>
        <v>0</v>
      </c>
      <c r="AS12" s="20"/>
      <c r="AT12" s="6">
        <f t="shared" ref="AT12:AT44" si="27">AV12/1.19</f>
        <v>0</v>
      </c>
      <c r="AU12" s="6">
        <f t="shared" ref="AU12:AU44" si="28">AT12*0.19</f>
        <v>0</v>
      </c>
      <c r="AV12" s="20"/>
      <c r="AW12" s="54">
        <f>AVERAGE(I12,L12,O12,R12,U12,X12,AA12,AD12,AG12,AJ12,AM12,AP12,AS12,AV12)</f>
        <v>21617.857142857141</v>
      </c>
      <c r="AX12" s="52">
        <f t="shared" si="0"/>
        <v>21618</v>
      </c>
    </row>
    <row r="13" spans="1:54" ht="30" x14ac:dyDescent="0.25">
      <c r="A13" s="4">
        <v>4</v>
      </c>
      <c r="B13" s="4">
        <v>101518</v>
      </c>
      <c r="C13" s="4" t="s">
        <v>30</v>
      </c>
      <c r="D13" s="5" t="s">
        <v>31</v>
      </c>
      <c r="E13" s="4" t="s">
        <v>14</v>
      </c>
      <c r="F13" s="4">
        <v>1</v>
      </c>
      <c r="G13" s="7">
        <f t="shared" si="1"/>
        <v>420.1680672268908</v>
      </c>
      <c r="H13" s="7">
        <f t="shared" si="2"/>
        <v>79.831932773109259</v>
      </c>
      <c r="I13" s="15">
        <v>500</v>
      </c>
      <c r="J13" s="6">
        <f t="shared" si="3"/>
        <v>630.2521008403362</v>
      </c>
      <c r="K13" s="6">
        <f t="shared" si="4"/>
        <v>119.74789915966387</v>
      </c>
      <c r="L13" s="15">
        <v>750</v>
      </c>
      <c r="M13" s="6">
        <f t="shared" si="5"/>
        <v>924.36974789915973</v>
      </c>
      <c r="N13" s="6">
        <f t="shared" si="6"/>
        <v>175.63025210084035</v>
      </c>
      <c r="O13" s="15">
        <f>1100</f>
        <v>1100</v>
      </c>
      <c r="P13" s="6">
        <f t="shared" si="7"/>
        <v>0</v>
      </c>
      <c r="Q13" s="6">
        <f t="shared" si="8"/>
        <v>0</v>
      </c>
      <c r="R13" s="15"/>
      <c r="S13" s="6">
        <f t="shared" si="9"/>
        <v>0</v>
      </c>
      <c r="T13" s="6">
        <f t="shared" si="10"/>
        <v>0</v>
      </c>
      <c r="U13" s="15"/>
      <c r="V13" s="6">
        <f t="shared" si="11"/>
        <v>0</v>
      </c>
      <c r="W13" s="6">
        <f t="shared" si="12"/>
        <v>0</v>
      </c>
      <c r="X13" s="15"/>
      <c r="Y13" s="6">
        <f t="shared" si="13"/>
        <v>3361.3445378151264</v>
      </c>
      <c r="Z13" s="6">
        <f t="shared" si="14"/>
        <v>638.65546218487407</v>
      </c>
      <c r="AA13" s="15">
        <v>4000</v>
      </c>
      <c r="AB13" s="6">
        <f t="shared" si="15"/>
        <v>2521.0084033613448</v>
      </c>
      <c r="AC13" s="6">
        <f t="shared" si="16"/>
        <v>478.99159663865549</v>
      </c>
      <c r="AD13" s="15">
        <v>3000</v>
      </c>
      <c r="AE13" s="6">
        <f t="shared" si="17"/>
        <v>2521.0084033613448</v>
      </c>
      <c r="AF13" s="6">
        <f t="shared" si="18"/>
        <v>478.99159663865549</v>
      </c>
      <c r="AG13" s="15">
        <v>3000</v>
      </c>
      <c r="AH13" s="6">
        <f t="shared" si="19"/>
        <v>0</v>
      </c>
      <c r="AI13" s="6">
        <f t="shared" si="20"/>
        <v>0</v>
      </c>
      <c r="AJ13" s="15"/>
      <c r="AK13" s="6">
        <f t="shared" si="21"/>
        <v>0</v>
      </c>
      <c r="AL13" s="6">
        <f t="shared" si="22"/>
        <v>0</v>
      </c>
      <c r="AM13" s="15"/>
      <c r="AN13" s="6">
        <f t="shared" si="23"/>
        <v>0</v>
      </c>
      <c r="AO13" s="6">
        <f t="shared" si="24"/>
        <v>0</v>
      </c>
      <c r="AP13" s="15"/>
      <c r="AQ13" s="6">
        <f t="shared" si="25"/>
        <v>0</v>
      </c>
      <c r="AR13" s="6">
        <f t="shared" si="26"/>
        <v>0</v>
      </c>
      <c r="AS13" s="15"/>
      <c r="AT13" s="6">
        <f t="shared" si="27"/>
        <v>0</v>
      </c>
      <c r="AU13" s="6">
        <f t="shared" si="28"/>
        <v>0</v>
      </c>
      <c r="AV13" s="15"/>
      <c r="AW13" s="54">
        <f t="shared" ref="AW13:AW44" si="29">AVERAGE(I13,L13,O13,R13,U13,X13,AA13,AD13,AG13,AJ13,AM13,AP13,AS13,AV13)</f>
        <v>2058.3333333333335</v>
      </c>
      <c r="AX13" s="52">
        <f>ROUNDDOWN(AW13,0)</f>
        <v>2058</v>
      </c>
    </row>
    <row r="14" spans="1:54" ht="40.5" customHeight="1" x14ac:dyDescent="0.25">
      <c r="A14" s="4">
        <v>5</v>
      </c>
      <c r="B14" s="55">
        <v>10152001</v>
      </c>
      <c r="C14" s="55" t="s">
        <v>32</v>
      </c>
      <c r="D14" s="5" t="s">
        <v>33</v>
      </c>
      <c r="E14" s="4" t="s">
        <v>14</v>
      </c>
      <c r="F14" s="4">
        <v>1</v>
      </c>
      <c r="G14" s="7">
        <f t="shared" si="1"/>
        <v>1680.6722689075632</v>
      </c>
      <c r="H14" s="7">
        <f t="shared" si="2"/>
        <v>319.32773109243703</v>
      </c>
      <c r="I14" s="15">
        <v>2000</v>
      </c>
      <c r="J14" s="6">
        <f t="shared" si="3"/>
        <v>1512.6050420168067</v>
      </c>
      <c r="K14" s="6">
        <f t="shared" si="4"/>
        <v>287.39495798319325</v>
      </c>
      <c r="L14" s="15">
        <v>1800</v>
      </c>
      <c r="M14" s="6">
        <f t="shared" si="5"/>
        <v>1512.6050420168067</v>
      </c>
      <c r="N14" s="6">
        <f t="shared" si="6"/>
        <v>287.39495798319325</v>
      </c>
      <c r="O14" s="15">
        <f>1800</f>
        <v>1800</v>
      </c>
      <c r="P14" s="6">
        <f t="shared" si="7"/>
        <v>0</v>
      </c>
      <c r="Q14" s="6">
        <f t="shared" si="8"/>
        <v>0</v>
      </c>
      <c r="R14" s="15"/>
      <c r="S14" s="6">
        <f t="shared" si="9"/>
        <v>0</v>
      </c>
      <c r="T14" s="6">
        <f t="shared" si="10"/>
        <v>0</v>
      </c>
      <c r="U14" s="15"/>
      <c r="V14" s="6">
        <f t="shared" si="11"/>
        <v>0</v>
      </c>
      <c r="W14" s="6">
        <f t="shared" si="12"/>
        <v>0</v>
      </c>
      <c r="X14" s="15"/>
      <c r="Y14" s="6">
        <f t="shared" si="13"/>
        <v>0</v>
      </c>
      <c r="Z14" s="6">
        <f t="shared" si="14"/>
        <v>0</v>
      </c>
      <c r="AA14" s="15"/>
      <c r="AB14" s="6">
        <f t="shared" si="15"/>
        <v>3361.3445378151264</v>
      </c>
      <c r="AC14" s="6">
        <f t="shared" si="16"/>
        <v>638.65546218487407</v>
      </c>
      <c r="AD14" s="15">
        <v>4000</v>
      </c>
      <c r="AE14" s="6">
        <f t="shared" si="17"/>
        <v>4201.680672268908</v>
      </c>
      <c r="AF14" s="6">
        <f t="shared" si="18"/>
        <v>798.31932773109247</v>
      </c>
      <c r="AG14" s="15">
        <v>5000</v>
      </c>
      <c r="AH14" s="6">
        <f t="shared" si="19"/>
        <v>0</v>
      </c>
      <c r="AI14" s="6">
        <f t="shared" si="20"/>
        <v>0</v>
      </c>
      <c r="AJ14" s="15"/>
      <c r="AK14" s="6">
        <f t="shared" si="21"/>
        <v>0</v>
      </c>
      <c r="AL14" s="6">
        <f t="shared" si="22"/>
        <v>0</v>
      </c>
      <c r="AM14" s="15"/>
      <c r="AN14" s="6">
        <f t="shared" si="23"/>
        <v>0</v>
      </c>
      <c r="AO14" s="6">
        <f t="shared" si="24"/>
        <v>0</v>
      </c>
      <c r="AP14" s="15"/>
      <c r="AQ14" s="6">
        <f t="shared" si="25"/>
        <v>0</v>
      </c>
      <c r="AR14" s="6">
        <f t="shared" si="26"/>
        <v>0</v>
      </c>
      <c r="AS14" s="15"/>
      <c r="AT14" s="6">
        <f t="shared" si="27"/>
        <v>0</v>
      </c>
      <c r="AU14" s="6">
        <f t="shared" si="28"/>
        <v>0</v>
      </c>
      <c r="AV14" s="15"/>
      <c r="AW14" s="54">
        <f t="shared" si="29"/>
        <v>2920</v>
      </c>
      <c r="AX14" s="52">
        <f>ROUNDUP(AW14,0)</f>
        <v>2920</v>
      </c>
    </row>
    <row r="15" spans="1:54" ht="45" x14ac:dyDescent="0.25">
      <c r="A15" s="4">
        <v>6</v>
      </c>
      <c r="B15" s="55"/>
      <c r="C15" s="55"/>
      <c r="D15" s="4" t="s">
        <v>34</v>
      </c>
      <c r="E15" s="4" t="s">
        <v>14</v>
      </c>
      <c r="F15" s="4">
        <v>1</v>
      </c>
      <c r="G15" s="7">
        <f t="shared" si="1"/>
        <v>0</v>
      </c>
      <c r="H15" s="7">
        <f t="shared" si="2"/>
        <v>0</v>
      </c>
      <c r="I15" s="15"/>
      <c r="J15" s="6">
        <f t="shared" si="3"/>
        <v>22268.907563025212</v>
      </c>
      <c r="K15" s="6">
        <f t="shared" si="4"/>
        <v>4231.09243697479</v>
      </c>
      <c r="L15" s="15">
        <f>(24000+29000)/2</f>
        <v>26500</v>
      </c>
      <c r="M15" s="6">
        <f t="shared" si="5"/>
        <v>20588.235294117647</v>
      </c>
      <c r="N15" s="6">
        <f t="shared" si="6"/>
        <v>3911.7647058823532</v>
      </c>
      <c r="O15" s="15">
        <f>24500</f>
        <v>24500</v>
      </c>
      <c r="P15" s="6">
        <f t="shared" si="7"/>
        <v>0</v>
      </c>
      <c r="Q15" s="6">
        <f t="shared" si="8"/>
        <v>0</v>
      </c>
      <c r="R15" s="15"/>
      <c r="S15" s="6">
        <f t="shared" si="9"/>
        <v>0</v>
      </c>
      <c r="T15" s="6">
        <f t="shared" si="10"/>
        <v>0</v>
      </c>
      <c r="U15" s="15"/>
      <c r="V15" s="6">
        <f t="shared" si="11"/>
        <v>0</v>
      </c>
      <c r="W15" s="6">
        <f t="shared" si="12"/>
        <v>0</v>
      </c>
      <c r="X15" s="15"/>
      <c r="Y15" s="6">
        <f t="shared" si="13"/>
        <v>12605.042016806723</v>
      </c>
      <c r="Z15" s="6">
        <f t="shared" si="14"/>
        <v>2394.9579831932774</v>
      </c>
      <c r="AA15" s="15">
        <v>15000</v>
      </c>
      <c r="AB15" s="6">
        <f t="shared" si="15"/>
        <v>15126.050420168069</v>
      </c>
      <c r="AC15" s="6">
        <f t="shared" si="16"/>
        <v>2873.9495798319331</v>
      </c>
      <c r="AD15" s="15">
        <v>18000</v>
      </c>
      <c r="AE15" s="6">
        <f t="shared" si="17"/>
        <v>25210.084033613446</v>
      </c>
      <c r="AF15" s="6">
        <f t="shared" si="18"/>
        <v>4789.9159663865548</v>
      </c>
      <c r="AG15" s="15">
        <v>30000</v>
      </c>
      <c r="AH15" s="6">
        <f t="shared" si="19"/>
        <v>0</v>
      </c>
      <c r="AI15" s="6">
        <f t="shared" si="20"/>
        <v>0</v>
      </c>
      <c r="AJ15" s="15"/>
      <c r="AK15" s="6">
        <f t="shared" si="21"/>
        <v>0</v>
      </c>
      <c r="AL15" s="6">
        <f t="shared" si="22"/>
        <v>0</v>
      </c>
      <c r="AM15" s="15"/>
      <c r="AN15" s="6">
        <f t="shared" si="23"/>
        <v>0</v>
      </c>
      <c r="AO15" s="6">
        <f t="shared" si="24"/>
        <v>0</v>
      </c>
      <c r="AP15" s="15"/>
      <c r="AQ15" s="6">
        <f t="shared" si="25"/>
        <v>0</v>
      </c>
      <c r="AR15" s="6">
        <f t="shared" si="26"/>
        <v>0</v>
      </c>
      <c r="AS15" s="15"/>
      <c r="AT15" s="6">
        <f t="shared" si="27"/>
        <v>0</v>
      </c>
      <c r="AU15" s="6">
        <f t="shared" si="28"/>
        <v>0</v>
      </c>
      <c r="AV15" s="15"/>
      <c r="AW15" s="54">
        <f t="shared" si="29"/>
        <v>22800</v>
      </c>
      <c r="AX15" s="52">
        <f t="shared" ref="AX15:AX44" si="30">ROUNDUP(AW15,0)</f>
        <v>22800</v>
      </c>
    </row>
    <row r="16" spans="1:54" ht="30" x14ac:dyDescent="0.25">
      <c r="A16" s="4">
        <v>7</v>
      </c>
      <c r="B16" s="4">
        <v>101515</v>
      </c>
      <c r="C16" s="4" t="s">
        <v>35</v>
      </c>
      <c r="D16" s="5" t="s">
        <v>36</v>
      </c>
      <c r="E16" s="4" t="s">
        <v>14</v>
      </c>
      <c r="F16" s="4">
        <v>1</v>
      </c>
      <c r="G16" s="7">
        <f t="shared" si="1"/>
        <v>420.1680672268908</v>
      </c>
      <c r="H16" s="7">
        <f t="shared" si="2"/>
        <v>79.831932773109259</v>
      </c>
      <c r="I16" s="15">
        <v>500</v>
      </c>
      <c r="J16" s="6">
        <f t="shared" si="3"/>
        <v>546.21848739495806</v>
      </c>
      <c r="K16" s="6">
        <f t="shared" si="4"/>
        <v>103.78151260504204</v>
      </c>
      <c r="L16" s="15">
        <v>650</v>
      </c>
      <c r="M16" s="6">
        <f t="shared" si="5"/>
        <v>756.30252100840335</v>
      </c>
      <c r="N16" s="6">
        <f t="shared" si="6"/>
        <v>143.69747899159663</v>
      </c>
      <c r="O16" s="15">
        <f>900</f>
        <v>900</v>
      </c>
      <c r="P16" s="6">
        <f t="shared" si="7"/>
        <v>0</v>
      </c>
      <c r="Q16" s="6">
        <f t="shared" si="8"/>
        <v>0</v>
      </c>
      <c r="R16" s="15"/>
      <c r="S16" s="6">
        <f t="shared" si="9"/>
        <v>0</v>
      </c>
      <c r="T16" s="6">
        <f t="shared" si="10"/>
        <v>0</v>
      </c>
      <c r="U16" s="15"/>
      <c r="V16" s="6">
        <f t="shared" si="11"/>
        <v>0</v>
      </c>
      <c r="W16" s="6">
        <f t="shared" si="12"/>
        <v>0</v>
      </c>
      <c r="X16" s="15"/>
      <c r="Y16" s="6">
        <f t="shared" si="13"/>
        <v>0</v>
      </c>
      <c r="Z16" s="6">
        <f t="shared" si="14"/>
        <v>0</v>
      </c>
      <c r="AA16" s="15"/>
      <c r="AB16" s="6">
        <f t="shared" si="15"/>
        <v>252.10084033613447</v>
      </c>
      <c r="AC16" s="6">
        <f t="shared" si="16"/>
        <v>47.899159663865547</v>
      </c>
      <c r="AD16" s="15">
        <v>300</v>
      </c>
      <c r="AE16" s="6">
        <f t="shared" si="17"/>
        <v>0</v>
      </c>
      <c r="AF16" s="6">
        <f t="shared" si="18"/>
        <v>0</v>
      </c>
      <c r="AG16" s="15"/>
      <c r="AH16" s="6">
        <f t="shared" si="19"/>
        <v>0</v>
      </c>
      <c r="AI16" s="6">
        <f t="shared" si="20"/>
        <v>0</v>
      </c>
      <c r="AJ16" s="15"/>
      <c r="AK16" s="6">
        <f t="shared" si="21"/>
        <v>0</v>
      </c>
      <c r="AL16" s="6">
        <f t="shared" si="22"/>
        <v>0</v>
      </c>
      <c r="AM16" s="15"/>
      <c r="AN16" s="6">
        <f t="shared" si="23"/>
        <v>0</v>
      </c>
      <c r="AO16" s="6">
        <f t="shared" si="24"/>
        <v>0</v>
      </c>
      <c r="AP16" s="15"/>
      <c r="AQ16" s="6">
        <f t="shared" si="25"/>
        <v>0</v>
      </c>
      <c r="AR16" s="6">
        <f t="shared" si="26"/>
        <v>0</v>
      </c>
      <c r="AS16" s="15"/>
      <c r="AT16" s="6">
        <f t="shared" si="27"/>
        <v>0</v>
      </c>
      <c r="AU16" s="6">
        <f t="shared" si="28"/>
        <v>0</v>
      </c>
      <c r="AV16" s="15"/>
      <c r="AW16" s="54">
        <f t="shared" si="29"/>
        <v>587.5</v>
      </c>
      <c r="AX16" s="52">
        <f t="shared" si="30"/>
        <v>588</v>
      </c>
    </row>
    <row r="17" spans="1:50" x14ac:dyDescent="0.25">
      <c r="A17" s="4">
        <v>8</v>
      </c>
      <c r="B17" s="55">
        <v>111115</v>
      </c>
      <c r="C17" s="55" t="s">
        <v>37</v>
      </c>
      <c r="D17" s="8" t="s">
        <v>38</v>
      </c>
      <c r="E17" s="4" t="s">
        <v>39</v>
      </c>
      <c r="F17" s="4"/>
      <c r="G17" s="7">
        <f t="shared" si="1"/>
        <v>10924.36974789916</v>
      </c>
      <c r="H17" s="7">
        <f t="shared" si="2"/>
        <v>2075.6302521008406</v>
      </c>
      <c r="I17" s="15">
        <v>13000</v>
      </c>
      <c r="J17" s="6">
        <f t="shared" si="3"/>
        <v>31932.773109243699</v>
      </c>
      <c r="K17" s="6">
        <f t="shared" si="4"/>
        <v>6067.226890756303</v>
      </c>
      <c r="L17" s="15">
        <v>38000</v>
      </c>
      <c r="M17" s="6">
        <f t="shared" si="5"/>
        <v>10840.336134453783</v>
      </c>
      <c r="N17" s="6">
        <f t="shared" si="6"/>
        <v>2059.6638655462189</v>
      </c>
      <c r="O17" s="15">
        <f>12900</f>
        <v>12900</v>
      </c>
      <c r="P17" s="6">
        <f t="shared" si="7"/>
        <v>0</v>
      </c>
      <c r="Q17" s="6">
        <f t="shared" si="8"/>
        <v>0</v>
      </c>
      <c r="R17" s="15"/>
      <c r="S17" s="6">
        <f t="shared" si="9"/>
        <v>0</v>
      </c>
      <c r="T17" s="6">
        <f t="shared" si="10"/>
        <v>0</v>
      </c>
      <c r="U17" s="15"/>
      <c r="V17" s="6">
        <f t="shared" si="11"/>
        <v>0</v>
      </c>
      <c r="W17" s="6">
        <f t="shared" si="12"/>
        <v>0</v>
      </c>
      <c r="X17" s="15"/>
      <c r="Y17" s="6">
        <f t="shared" si="13"/>
        <v>5042.0168067226896</v>
      </c>
      <c r="Z17" s="6">
        <f t="shared" si="14"/>
        <v>957.98319327731099</v>
      </c>
      <c r="AA17" s="15">
        <v>6000</v>
      </c>
      <c r="AB17" s="6">
        <f t="shared" si="15"/>
        <v>4201.680672268908</v>
      </c>
      <c r="AC17" s="6">
        <f t="shared" si="16"/>
        <v>798.31932773109247</v>
      </c>
      <c r="AD17" s="15">
        <v>5000</v>
      </c>
      <c r="AE17" s="6">
        <f t="shared" si="17"/>
        <v>5042.0168067226896</v>
      </c>
      <c r="AF17" s="6">
        <f t="shared" si="18"/>
        <v>957.98319327731099</v>
      </c>
      <c r="AG17" s="15">
        <v>6000</v>
      </c>
      <c r="AH17" s="6">
        <f t="shared" si="19"/>
        <v>0</v>
      </c>
      <c r="AI17" s="6">
        <f t="shared" si="20"/>
        <v>0</v>
      </c>
      <c r="AJ17" s="15"/>
      <c r="AK17" s="6">
        <f t="shared" si="21"/>
        <v>0</v>
      </c>
      <c r="AL17" s="6">
        <f t="shared" si="22"/>
        <v>0</v>
      </c>
      <c r="AM17" s="15"/>
      <c r="AN17" s="6">
        <f t="shared" si="23"/>
        <v>0</v>
      </c>
      <c r="AO17" s="6">
        <f t="shared" si="24"/>
        <v>0</v>
      </c>
      <c r="AP17" s="15"/>
      <c r="AQ17" s="6">
        <f t="shared" si="25"/>
        <v>0</v>
      </c>
      <c r="AR17" s="6">
        <f t="shared" si="26"/>
        <v>0</v>
      </c>
      <c r="AS17" s="15"/>
      <c r="AT17" s="6">
        <f t="shared" si="27"/>
        <v>0</v>
      </c>
      <c r="AU17" s="6">
        <f t="shared" si="28"/>
        <v>0</v>
      </c>
      <c r="AV17" s="15"/>
      <c r="AW17" s="54">
        <f t="shared" si="29"/>
        <v>13483.333333333334</v>
      </c>
      <c r="AX17" s="52">
        <f>ROUNDDOWN(AW17,0)</f>
        <v>13483</v>
      </c>
    </row>
    <row r="18" spans="1:50" x14ac:dyDescent="0.25">
      <c r="A18" s="4">
        <v>9</v>
      </c>
      <c r="B18" s="55"/>
      <c r="C18" s="55"/>
      <c r="D18" s="8" t="s">
        <v>40</v>
      </c>
      <c r="E18" s="4" t="s">
        <v>14</v>
      </c>
      <c r="F18" s="4">
        <v>1</v>
      </c>
      <c r="G18" s="7">
        <f t="shared" si="1"/>
        <v>0</v>
      </c>
      <c r="H18" s="7">
        <f t="shared" si="2"/>
        <v>0</v>
      </c>
      <c r="I18" s="15"/>
      <c r="J18" s="6">
        <f t="shared" si="3"/>
        <v>1008.4033613445379</v>
      </c>
      <c r="K18" s="6">
        <f t="shared" si="4"/>
        <v>191.59663865546219</v>
      </c>
      <c r="L18" s="15">
        <v>1200</v>
      </c>
      <c r="M18" s="6">
        <f t="shared" si="5"/>
        <v>1260.5042016806724</v>
      </c>
      <c r="N18" s="6">
        <f t="shared" si="6"/>
        <v>239.49579831932775</v>
      </c>
      <c r="O18" s="15">
        <f>1500</f>
        <v>1500</v>
      </c>
      <c r="P18" s="6">
        <f t="shared" si="7"/>
        <v>0</v>
      </c>
      <c r="Q18" s="6">
        <f t="shared" si="8"/>
        <v>0</v>
      </c>
      <c r="R18" s="15"/>
      <c r="S18" s="6">
        <f t="shared" si="9"/>
        <v>0</v>
      </c>
      <c r="T18" s="6">
        <f t="shared" si="10"/>
        <v>0</v>
      </c>
      <c r="U18" s="15"/>
      <c r="V18" s="6">
        <f t="shared" si="11"/>
        <v>0</v>
      </c>
      <c r="W18" s="6">
        <f t="shared" si="12"/>
        <v>0</v>
      </c>
      <c r="X18" s="15"/>
      <c r="Y18" s="6">
        <f t="shared" si="13"/>
        <v>840.3361344537816</v>
      </c>
      <c r="Z18" s="6">
        <f t="shared" si="14"/>
        <v>159.66386554621852</v>
      </c>
      <c r="AA18" s="15">
        <v>1000</v>
      </c>
      <c r="AB18" s="6">
        <f t="shared" si="15"/>
        <v>840.3361344537816</v>
      </c>
      <c r="AC18" s="6">
        <f t="shared" si="16"/>
        <v>159.66386554621852</v>
      </c>
      <c r="AD18" s="15">
        <v>1000</v>
      </c>
      <c r="AE18" s="6">
        <f t="shared" si="17"/>
        <v>0</v>
      </c>
      <c r="AF18" s="6">
        <f t="shared" si="18"/>
        <v>0</v>
      </c>
      <c r="AG18" s="15"/>
      <c r="AH18" s="6">
        <f t="shared" si="19"/>
        <v>0</v>
      </c>
      <c r="AI18" s="6">
        <f t="shared" si="20"/>
        <v>0</v>
      </c>
      <c r="AJ18" s="15"/>
      <c r="AK18" s="6">
        <f t="shared" si="21"/>
        <v>0</v>
      </c>
      <c r="AL18" s="6">
        <f t="shared" si="22"/>
        <v>0</v>
      </c>
      <c r="AM18" s="15"/>
      <c r="AN18" s="6">
        <f t="shared" si="23"/>
        <v>0</v>
      </c>
      <c r="AO18" s="6">
        <f t="shared" si="24"/>
        <v>0</v>
      </c>
      <c r="AP18" s="15"/>
      <c r="AQ18" s="6">
        <f t="shared" si="25"/>
        <v>0</v>
      </c>
      <c r="AR18" s="6">
        <f t="shared" si="26"/>
        <v>0</v>
      </c>
      <c r="AS18" s="15"/>
      <c r="AT18" s="6">
        <f t="shared" si="27"/>
        <v>0</v>
      </c>
      <c r="AU18" s="6">
        <f t="shared" si="28"/>
        <v>0</v>
      </c>
      <c r="AV18" s="15"/>
      <c r="AW18" s="54">
        <f t="shared" si="29"/>
        <v>1175</v>
      </c>
      <c r="AX18" s="52">
        <f t="shared" si="30"/>
        <v>1175</v>
      </c>
    </row>
    <row r="19" spans="1:50" ht="45" x14ac:dyDescent="0.25">
      <c r="A19" s="4">
        <v>10</v>
      </c>
      <c r="B19" s="4">
        <v>101500</v>
      </c>
      <c r="C19" s="4" t="s">
        <v>41</v>
      </c>
      <c r="D19" s="4" t="s">
        <v>42</v>
      </c>
      <c r="E19" s="4" t="s">
        <v>14</v>
      </c>
      <c r="F19" s="4">
        <v>1</v>
      </c>
      <c r="G19" s="7">
        <f t="shared" si="1"/>
        <v>6722.6890756302528</v>
      </c>
      <c r="H19" s="7">
        <f t="shared" si="2"/>
        <v>1277.3109243697481</v>
      </c>
      <c r="I19" s="15">
        <v>8000</v>
      </c>
      <c r="J19" s="6">
        <f t="shared" si="3"/>
        <v>2521.0084033613448</v>
      </c>
      <c r="K19" s="6">
        <f t="shared" si="4"/>
        <v>478.99159663865549</v>
      </c>
      <c r="L19" s="15">
        <v>3000</v>
      </c>
      <c r="M19" s="6">
        <f t="shared" si="5"/>
        <v>6050.4201680672268</v>
      </c>
      <c r="N19" s="6">
        <f t="shared" si="6"/>
        <v>1149.579831932773</v>
      </c>
      <c r="O19" s="15">
        <f>7200</f>
        <v>7200</v>
      </c>
      <c r="P19" s="6">
        <f t="shared" si="7"/>
        <v>0</v>
      </c>
      <c r="Q19" s="6">
        <f t="shared" si="8"/>
        <v>0</v>
      </c>
      <c r="R19" s="15"/>
      <c r="S19" s="6">
        <f t="shared" si="9"/>
        <v>0</v>
      </c>
      <c r="T19" s="6">
        <f t="shared" si="10"/>
        <v>0</v>
      </c>
      <c r="U19" s="15"/>
      <c r="V19" s="6">
        <f t="shared" si="11"/>
        <v>0</v>
      </c>
      <c r="W19" s="6">
        <f t="shared" si="12"/>
        <v>0</v>
      </c>
      <c r="X19" s="15"/>
      <c r="Y19" s="6">
        <f t="shared" si="13"/>
        <v>3361.3445378151264</v>
      </c>
      <c r="Z19" s="6">
        <f t="shared" si="14"/>
        <v>638.65546218487407</v>
      </c>
      <c r="AA19" s="15">
        <v>4000</v>
      </c>
      <c r="AB19" s="6">
        <f t="shared" si="15"/>
        <v>0</v>
      </c>
      <c r="AC19" s="6">
        <f t="shared" si="16"/>
        <v>0</v>
      </c>
      <c r="AD19" s="15"/>
      <c r="AE19" s="6">
        <f t="shared" si="17"/>
        <v>0</v>
      </c>
      <c r="AF19" s="6">
        <f t="shared" si="18"/>
        <v>0</v>
      </c>
      <c r="AG19" s="15"/>
      <c r="AH19" s="6">
        <f t="shared" si="19"/>
        <v>0</v>
      </c>
      <c r="AI19" s="6">
        <f t="shared" si="20"/>
        <v>0</v>
      </c>
      <c r="AJ19" s="15"/>
      <c r="AK19" s="6">
        <f t="shared" si="21"/>
        <v>0</v>
      </c>
      <c r="AL19" s="6">
        <f t="shared" si="22"/>
        <v>0</v>
      </c>
      <c r="AM19" s="15"/>
      <c r="AN19" s="6">
        <f t="shared" si="23"/>
        <v>0</v>
      </c>
      <c r="AO19" s="6">
        <f t="shared" si="24"/>
        <v>0</v>
      </c>
      <c r="AP19" s="15"/>
      <c r="AQ19" s="6">
        <f t="shared" si="25"/>
        <v>0</v>
      </c>
      <c r="AR19" s="6">
        <f t="shared" si="26"/>
        <v>0</v>
      </c>
      <c r="AS19" s="15"/>
      <c r="AT19" s="6">
        <f t="shared" si="27"/>
        <v>0</v>
      </c>
      <c r="AU19" s="6">
        <f t="shared" si="28"/>
        <v>0</v>
      </c>
      <c r="AV19" s="15"/>
      <c r="AW19" s="54">
        <f t="shared" si="29"/>
        <v>5550</v>
      </c>
      <c r="AX19" s="52">
        <f t="shared" si="30"/>
        <v>5550</v>
      </c>
    </row>
    <row r="20" spans="1:50" ht="60" x14ac:dyDescent="0.25">
      <c r="A20" s="4">
        <v>11</v>
      </c>
      <c r="B20" s="4">
        <v>21101612</v>
      </c>
      <c r="C20" s="8" t="s">
        <v>43</v>
      </c>
      <c r="D20" s="8" t="s">
        <v>105</v>
      </c>
      <c r="E20" s="4" t="s">
        <v>14</v>
      </c>
      <c r="F20" s="4">
        <v>1</v>
      </c>
      <c r="G20" s="7">
        <f t="shared" si="1"/>
        <v>10084.033613445379</v>
      </c>
      <c r="H20" s="7">
        <f t="shared" si="2"/>
        <v>1915.966386554622</v>
      </c>
      <c r="I20" s="15">
        <v>12000</v>
      </c>
      <c r="J20" s="6">
        <f t="shared" si="3"/>
        <v>7142.8571428571431</v>
      </c>
      <c r="K20" s="6">
        <f t="shared" si="4"/>
        <v>1357.1428571428571</v>
      </c>
      <c r="L20" s="15">
        <v>8500</v>
      </c>
      <c r="M20" s="6">
        <f t="shared" si="5"/>
        <v>12605.042016806723</v>
      </c>
      <c r="N20" s="6">
        <f t="shared" si="6"/>
        <v>2394.9579831932774</v>
      </c>
      <c r="O20" s="15">
        <f>15000</f>
        <v>15000</v>
      </c>
      <c r="P20" s="6">
        <f t="shared" si="7"/>
        <v>0</v>
      </c>
      <c r="Q20" s="6">
        <f t="shared" si="8"/>
        <v>0</v>
      </c>
      <c r="R20" s="15"/>
      <c r="S20" s="6">
        <f t="shared" si="9"/>
        <v>62184.873949579836</v>
      </c>
      <c r="T20" s="6">
        <f t="shared" si="10"/>
        <v>11815.126050420169</v>
      </c>
      <c r="U20" s="15">
        <v>74000</v>
      </c>
      <c r="V20" s="6">
        <f t="shared" si="11"/>
        <v>0</v>
      </c>
      <c r="W20" s="6">
        <f t="shared" si="12"/>
        <v>0</v>
      </c>
      <c r="X20" s="15"/>
      <c r="Y20" s="6">
        <f t="shared" si="13"/>
        <v>0</v>
      </c>
      <c r="Z20" s="6">
        <f t="shared" si="14"/>
        <v>0</v>
      </c>
      <c r="AA20" s="15"/>
      <c r="AB20" s="6">
        <f t="shared" si="15"/>
        <v>0</v>
      </c>
      <c r="AC20" s="6">
        <f t="shared" si="16"/>
        <v>0</v>
      </c>
      <c r="AD20" s="15"/>
      <c r="AE20" s="6">
        <f t="shared" si="17"/>
        <v>0</v>
      </c>
      <c r="AF20" s="6">
        <f t="shared" si="18"/>
        <v>0</v>
      </c>
      <c r="AG20" s="15"/>
      <c r="AH20" s="6">
        <f t="shared" si="19"/>
        <v>0</v>
      </c>
      <c r="AI20" s="6">
        <f t="shared" si="20"/>
        <v>0</v>
      </c>
      <c r="AJ20" s="15"/>
      <c r="AK20" s="6">
        <f t="shared" si="21"/>
        <v>0</v>
      </c>
      <c r="AL20" s="6">
        <f t="shared" si="22"/>
        <v>0</v>
      </c>
      <c r="AM20" s="15"/>
      <c r="AN20" s="6">
        <f t="shared" si="23"/>
        <v>7563.0252100840344</v>
      </c>
      <c r="AO20" s="6">
        <f t="shared" si="24"/>
        <v>1436.9747899159665</v>
      </c>
      <c r="AP20" s="15">
        <v>9000</v>
      </c>
      <c r="AQ20" s="6">
        <f t="shared" si="25"/>
        <v>0</v>
      </c>
      <c r="AR20" s="6">
        <f t="shared" si="26"/>
        <v>0</v>
      </c>
      <c r="AS20" s="15"/>
      <c r="AT20" s="6">
        <f t="shared" si="27"/>
        <v>0</v>
      </c>
      <c r="AU20" s="6">
        <f t="shared" si="28"/>
        <v>0</v>
      </c>
      <c r="AV20" s="15"/>
      <c r="AW20" s="54">
        <f t="shared" si="29"/>
        <v>23700</v>
      </c>
      <c r="AX20" s="52">
        <f t="shared" si="30"/>
        <v>23700</v>
      </c>
    </row>
    <row r="21" spans="1:50" ht="45" x14ac:dyDescent="0.25">
      <c r="A21" s="4">
        <v>12</v>
      </c>
      <c r="B21" s="4">
        <v>27112024</v>
      </c>
      <c r="C21" s="4" t="s">
        <v>44</v>
      </c>
      <c r="D21" s="8" t="s">
        <v>45</v>
      </c>
      <c r="E21" s="4" t="s">
        <v>46</v>
      </c>
      <c r="F21" s="4">
        <v>1</v>
      </c>
      <c r="G21" s="7">
        <f t="shared" si="1"/>
        <v>0</v>
      </c>
      <c r="H21" s="7">
        <f t="shared" si="2"/>
        <v>0</v>
      </c>
      <c r="I21" s="15"/>
      <c r="J21" s="6">
        <f t="shared" si="3"/>
        <v>15546.218487394959</v>
      </c>
      <c r="K21" s="6">
        <f t="shared" si="4"/>
        <v>2953.7815126050423</v>
      </c>
      <c r="L21" s="15">
        <v>18500</v>
      </c>
      <c r="M21" s="6">
        <f t="shared" si="5"/>
        <v>50420.168067226892</v>
      </c>
      <c r="N21" s="6">
        <f t="shared" si="6"/>
        <v>9579.8319327731097</v>
      </c>
      <c r="O21" s="15">
        <f>60000</f>
        <v>60000</v>
      </c>
      <c r="P21" s="6">
        <f t="shared" si="7"/>
        <v>0</v>
      </c>
      <c r="Q21" s="6">
        <f t="shared" si="8"/>
        <v>0</v>
      </c>
      <c r="R21" s="15"/>
      <c r="S21" s="6">
        <f t="shared" si="9"/>
        <v>15042.01680672269</v>
      </c>
      <c r="T21" s="6">
        <f t="shared" si="10"/>
        <v>2857.9831932773109</v>
      </c>
      <c r="U21" s="15">
        <v>17900</v>
      </c>
      <c r="V21" s="6">
        <f t="shared" si="11"/>
        <v>0</v>
      </c>
      <c r="W21" s="6">
        <f t="shared" si="12"/>
        <v>0</v>
      </c>
      <c r="X21" s="15"/>
      <c r="Y21" s="6">
        <f t="shared" si="13"/>
        <v>0</v>
      </c>
      <c r="Z21" s="6">
        <f t="shared" si="14"/>
        <v>0</v>
      </c>
      <c r="AA21" s="15"/>
      <c r="AB21" s="6">
        <f t="shared" si="15"/>
        <v>0</v>
      </c>
      <c r="AC21" s="6">
        <f t="shared" si="16"/>
        <v>0</v>
      </c>
      <c r="AD21" s="15"/>
      <c r="AE21" s="6">
        <f t="shared" si="17"/>
        <v>0</v>
      </c>
      <c r="AF21" s="6">
        <f t="shared" si="18"/>
        <v>0</v>
      </c>
      <c r="AG21" s="15"/>
      <c r="AH21" s="6">
        <f t="shared" si="19"/>
        <v>0</v>
      </c>
      <c r="AI21" s="6">
        <f t="shared" si="20"/>
        <v>0</v>
      </c>
      <c r="AJ21" s="15"/>
      <c r="AK21" s="6">
        <f t="shared" si="21"/>
        <v>0</v>
      </c>
      <c r="AL21" s="6">
        <f t="shared" si="22"/>
        <v>0</v>
      </c>
      <c r="AM21" s="15"/>
      <c r="AN21" s="6">
        <f t="shared" si="23"/>
        <v>0</v>
      </c>
      <c r="AO21" s="6">
        <f t="shared" si="24"/>
        <v>0</v>
      </c>
      <c r="AP21" s="15"/>
      <c r="AQ21" s="6">
        <f t="shared" si="25"/>
        <v>0</v>
      </c>
      <c r="AR21" s="6">
        <f t="shared" si="26"/>
        <v>0</v>
      </c>
      <c r="AS21" s="15"/>
      <c r="AT21" s="6">
        <f t="shared" si="27"/>
        <v>0</v>
      </c>
      <c r="AU21" s="6">
        <f t="shared" si="28"/>
        <v>0</v>
      </c>
      <c r="AV21" s="15"/>
      <c r="AW21" s="54">
        <f t="shared" si="29"/>
        <v>32133.333333333332</v>
      </c>
      <c r="AX21" s="52">
        <f>ROUNDDOWN(AW21,0)</f>
        <v>32133</v>
      </c>
    </row>
    <row r="22" spans="1:50" ht="45" x14ac:dyDescent="0.25">
      <c r="A22" s="4">
        <v>13</v>
      </c>
      <c r="B22" s="4">
        <v>10171500</v>
      </c>
      <c r="C22" s="4" t="s">
        <v>47</v>
      </c>
      <c r="D22" s="8" t="s">
        <v>48</v>
      </c>
      <c r="E22" s="4" t="s">
        <v>39</v>
      </c>
      <c r="F22" s="4">
        <v>1</v>
      </c>
      <c r="G22" s="7">
        <f t="shared" si="1"/>
        <v>0</v>
      </c>
      <c r="H22" s="7">
        <f t="shared" si="2"/>
        <v>0</v>
      </c>
      <c r="I22" s="15"/>
      <c r="J22" s="6">
        <f t="shared" si="3"/>
        <v>46218.487394957985</v>
      </c>
      <c r="K22" s="6">
        <f t="shared" si="4"/>
        <v>8781.5126050420167</v>
      </c>
      <c r="L22" s="15">
        <v>55000</v>
      </c>
      <c r="M22" s="6">
        <f t="shared" si="5"/>
        <v>50420.168067226892</v>
      </c>
      <c r="N22" s="6">
        <f t="shared" si="6"/>
        <v>9579.8319327731097</v>
      </c>
      <c r="O22" s="15">
        <f>60000</f>
        <v>60000</v>
      </c>
      <c r="P22" s="6">
        <f t="shared" si="7"/>
        <v>0</v>
      </c>
      <c r="Q22" s="6">
        <f t="shared" si="8"/>
        <v>0</v>
      </c>
      <c r="R22" s="15"/>
      <c r="S22" s="6">
        <f t="shared" si="9"/>
        <v>0</v>
      </c>
      <c r="T22" s="6">
        <f t="shared" si="10"/>
        <v>0</v>
      </c>
      <c r="U22" s="15"/>
      <c r="V22" s="6">
        <f t="shared" si="11"/>
        <v>0</v>
      </c>
      <c r="W22" s="6">
        <f t="shared" si="12"/>
        <v>0</v>
      </c>
      <c r="X22" s="15"/>
      <c r="Y22" s="6">
        <f t="shared" si="13"/>
        <v>50420.168067226892</v>
      </c>
      <c r="Z22" s="6">
        <f t="shared" si="14"/>
        <v>9579.8319327731097</v>
      </c>
      <c r="AA22" s="15">
        <v>60000</v>
      </c>
      <c r="AB22" s="6">
        <f t="shared" si="15"/>
        <v>58823.529411764706</v>
      </c>
      <c r="AC22" s="6">
        <f t="shared" si="16"/>
        <v>11176.470588235294</v>
      </c>
      <c r="AD22" s="15">
        <v>70000</v>
      </c>
      <c r="AE22" s="6">
        <f t="shared" si="17"/>
        <v>42016.806722689078</v>
      </c>
      <c r="AF22" s="6">
        <f t="shared" si="18"/>
        <v>7983.1932773109247</v>
      </c>
      <c r="AG22" s="15">
        <v>50000</v>
      </c>
      <c r="AH22" s="6">
        <f t="shared" si="19"/>
        <v>0</v>
      </c>
      <c r="AI22" s="6">
        <f t="shared" si="20"/>
        <v>0</v>
      </c>
      <c r="AJ22" s="15"/>
      <c r="AK22" s="6">
        <f t="shared" si="21"/>
        <v>0</v>
      </c>
      <c r="AL22" s="6">
        <f t="shared" si="22"/>
        <v>0</v>
      </c>
      <c r="AM22" s="15"/>
      <c r="AN22" s="6">
        <f t="shared" si="23"/>
        <v>0</v>
      </c>
      <c r="AO22" s="6">
        <f t="shared" si="24"/>
        <v>0</v>
      </c>
      <c r="AP22" s="15"/>
      <c r="AQ22" s="6">
        <f t="shared" si="25"/>
        <v>0</v>
      </c>
      <c r="AR22" s="6">
        <f t="shared" si="26"/>
        <v>0</v>
      </c>
      <c r="AS22" s="15"/>
      <c r="AT22" s="6">
        <f t="shared" si="27"/>
        <v>0</v>
      </c>
      <c r="AU22" s="6">
        <f t="shared" si="28"/>
        <v>0</v>
      </c>
      <c r="AV22" s="15"/>
      <c r="AW22" s="54">
        <f t="shared" si="29"/>
        <v>59000</v>
      </c>
      <c r="AX22" s="52">
        <f t="shared" si="30"/>
        <v>59000</v>
      </c>
    </row>
    <row r="23" spans="1:50" ht="45" hidden="1" x14ac:dyDescent="0.25">
      <c r="A23" s="4">
        <v>14</v>
      </c>
      <c r="B23" s="4">
        <v>10161508</v>
      </c>
      <c r="C23" s="4" t="s">
        <v>49</v>
      </c>
      <c r="D23" s="4" t="s">
        <v>50</v>
      </c>
      <c r="E23" s="4" t="s">
        <v>14</v>
      </c>
      <c r="F23" s="4">
        <v>1</v>
      </c>
      <c r="G23" s="7">
        <f t="shared" si="1"/>
        <v>0</v>
      </c>
      <c r="H23" s="7">
        <f t="shared" si="2"/>
        <v>0</v>
      </c>
      <c r="I23" s="15"/>
      <c r="J23" s="6">
        <f t="shared" si="3"/>
        <v>12605.042016806723</v>
      </c>
      <c r="K23" s="6">
        <f t="shared" si="4"/>
        <v>2394.9579831932774</v>
      </c>
      <c r="L23" s="15">
        <v>15000</v>
      </c>
      <c r="M23" s="6">
        <f t="shared" si="5"/>
        <v>0</v>
      </c>
      <c r="N23" s="6">
        <f t="shared" si="6"/>
        <v>0</v>
      </c>
      <c r="O23" s="15"/>
      <c r="P23" s="6">
        <f t="shared" si="7"/>
        <v>0</v>
      </c>
      <c r="Q23" s="6">
        <f t="shared" si="8"/>
        <v>0</v>
      </c>
      <c r="R23" s="15"/>
      <c r="S23" s="6">
        <f t="shared" si="9"/>
        <v>0</v>
      </c>
      <c r="T23" s="6">
        <f t="shared" si="10"/>
        <v>0</v>
      </c>
      <c r="U23" s="15"/>
      <c r="V23" s="6">
        <f t="shared" si="11"/>
        <v>0</v>
      </c>
      <c r="W23" s="6">
        <f t="shared" si="12"/>
        <v>0</v>
      </c>
      <c r="X23" s="15"/>
      <c r="Y23" s="6">
        <f t="shared" si="13"/>
        <v>0</v>
      </c>
      <c r="Z23" s="6">
        <f t="shared" si="14"/>
        <v>0</v>
      </c>
      <c r="AA23" s="15"/>
      <c r="AB23" s="6">
        <f t="shared" si="15"/>
        <v>0</v>
      </c>
      <c r="AC23" s="6">
        <f t="shared" si="16"/>
        <v>0</v>
      </c>
      <c r="AD23" s="15"/>
      <c r="AE23" s="6">
        <f t="shared" si="17"/>
        <v>0</v>
      </c>
      <c r="AF23" s="6">
        <f t="shared" si="18"/>
        <v>0</v>
      </c>
      <c r="AG23" s="15"/>
      <c r="AH23" s="6">
        <f t="shared" si="19"/>
        <v>0</v>
      </c>
      <c r="AI23" s="6">
        <f t="shared" si="20"/>
        <v>0</v>
      </c>
      <c r="AJ23" s="15"/>
      <c r="AK23" s="6">
        <f t="shared" si="21"/>
        <v>0</v>
      </c>
      <c r="AL23" s="6">
        <f t="shared" si="22"/>
        <v>0</v>
      </c>
      <c r="AM23" s="15"/>
      <c r="AN23" s="6">
        <f t="shared" si="23"/>
        <v>0</v>
      </c>
      <c r="AO23" s="6">
        <f t="shared" si="24"/>
        <v>0</v>
      </c>
      <c r="AP23" s="15"/>
      <c r="AQ23" s="6">
        <f t="shared" si="25"/>
        <v>0</v>
      </c>
      <c r="AR23" s="6">
        <f t="shared" si="26"/>
        <v>0</v>
      </c>
      <c r="AS23" s="15"/>
      <c r="AT23" s="6">
        <f t="shared" si="27"/>
        <v>0</v>
      </c>
      <c r="AU23" s="6">
        <f t="shared" si="28"/>
        <v>0</v>
      </c>
      <c r="AV23" s="15"/>
      <c r="AW23" s="54">
        <f t="shared" si="29"/>
        <v>15000</v>
      </c>
      <c r="AX23" s="52">
        <f t="shared" si="30"/>
        <v>15000</v>
      </c>
    </row>
    <row r="24" spans="1:50" ht="60" x14ac:dyDescent="0.25">
      <c r="A24" s="4">
        <v>15</v>
      </c>
      <c r="B24" s="4">
        <v>10210000</v>
      </c>
      <c r="C24" s="4" t="s">
        <v>51</v>
      </c>
      <c r="D24" s="4" t="s">
        <v>52</v>
      </c>
      <c r="E24" s="4" t="s">
        <v>14</v>
      </c>
      <c r="F24" s="4">
        <v>1</v>
      </c>
      <c r="G24" s="7">
        <f t="shared" si="1"/>
        <v>0</v>
      </c>
      <c r="H24" s="7">
        <f t="shared" si="2"/>
        <v>0</v>
      </c>
      <c r="I24" s="15"/>
      <c r="J24" s="6">
        <f t="shared" si="3"/>
        <v>13445.378151260506</v>
      </c>
      <c r="K24" s="6">
        <f t="shared" si="4"/>
        <v>2554.6218487394963</v>
      </c>
      <c r="L24" s="15">
        <v>16000</v>
      </c>
      <c r="M24" s="6">
        <f t="shared" si="5"/>
        <v>7983.1932773109247</v>
      </c>
      <c r="N24" s="6">
        <f t="shared" si="6"/>
        <v>1516.8067226890757</v>
      </c>
      <c r="O24" s="15">
        <f>9500</f>
        <v>9500</v>
      </c>
      <c r="P24" s="6">
        <f t="shared" si="7"/>
        <v>0</v>
      </c>
      <c r="Q24" s="6">
        <f t="shared" si="8"/>
        <v>0</v>
      </c>
      <c r="R24" s="15"/>
      <c r="S24" s="6">
        <f t="shared" si="9"/>
        <v>0</v>
      </c>
      <c r="T24" s="6">
        <f t="shared" si="10"/>
        <v>0</v>
      </c>
      <c r="U24" s="15"/>
      <c r="V24" s="6">
        <f t="shared" si="11"/>
        <v>0</v>
      </c>
      <c r="W24" s="6">
        <f t="shared" si="12"/>
        <v>0</v>
      </c>
      <c r="X24" s="15"/>
      <c r="Y24" s="6">
        <f t="shared" si="13"/>
        <v>8403.361344537816</v>
      </c>
      <c r="Z24" s="6">
        <f t="shared" si="14"/>
        <v>1596.6386554621849</v>
      </c>
      <c r="AA24" s="15">
        <v>10000</v>
      </c>
      <c r="AB24" s="6">
        <f t="shared" si="15"/>
        <v>2521.0084033613448</v>
      </c>
      <c r="AC24" s="6">
        <f t="shared" si="16"/>
        <v>478.99159663865549</v>
      </c>
      <c r="AD24" s="15">
        <v>3000</v>
      </c>
      <c r="AE24" s="6">
        <f t="shared" si="17"/>
        <v>4201.680672268908</v>
      </c>
      <c r="AF24" s="6">
        <f t="shared" si="18"/>
        <v>798.31932773109247</v>
      </c>
      <c r="AG24" s="15">
        <v>5000</v>
      </c>
      <c r="AH24" s="6">
        <f t="shared" si="19"/>
        <v>0</v>
      </c>
      <c r="AI24" s="6">
        <f t="shared" si="20"/>
        <v>0</v>
      </c>
      <c r="AJ24" s="15"/>
      <c r="AK24" s="6">
        <f t="shared" si="21"/>
        <v>0</v>
      </c>
      <c r="AL24" s="6">
        <f t="shared" si="22"/>
        <v>0</v>
      </c>
      <c r="AM24" s="15"/>
      <c r="AN24" s="6">
        <f t="shared" si="23"/>
        <v>0</v>
      </c>
      <c r="AO24" s="6">
        <f t="shared" si="24"/>
        <v>0</v>
      </c>
      <c r="AP24" s="15"/>
      <c r="AQ24" s="6">
        <f t="shared" si="25"/>
        <v>0</v>
      </c>
      <c r="AR24" s="6">
        <f t="shared" si="26"/>
        <v>0</v>
      </c>
      <c r="AS24" s="15"/>
      <c r="AT24" s="6">
        <f t="shared" si="27"/>
        <v>0</v>
      </c>
      <c r="AU24" s="6">
        <f t="shared" si="28"/>
        <v>0</v>
      </c>
      <c r="AV24" s="15"/>
      <c r="AW24" s="54">
        <f t="shared" si="29"/>
        <v>8700</v>
      </c>
      <c r="AX24" s="52">
        <f t="shared" si="30"/>
        <v>8700</v>
      </c>
    </row>
    <row r="25" spans="1:50" ht="60" x14ac:dyDescent="0.25">
      <c r="A25" s="4">
        <v>16</v>
      </c>
      <c r="B25" s="4">
        <v>10220000</v>
      </c>
      <c r="C25" s="4" t="s">
        <v>53</v>
      </c>
      <c r="D25" s="4" t="s">
        <v>54</v>
      </c>
      <c r="E25" s="4" t="s">
        <v>14</v>
      </c>
      <c r="F25" s="4">
        <v>1</v>
      </c>
      <c r="G25" s="7">
        <f t="shared" si="1"/>
        <v>0</v>
      </c>
      <c r="H25" s="7">
        <f t="shared" si="2"/>
        <v>0</v>
      </c>
      <c r="I25" s="15"/>
      <c r="J25" s="6">
        <f t="shared" si="3"/>
        <v>5462.1848739495799</v>
      </c>
      <c r="K25" s="6">
        <f t="shared" si="4"/>
        <v>1037.8151260504203</v>
      </c>
      <c r="L25" s="15">
        <v>6500</v>
      </c>
      <c r="M25" s="6">
        <f t="shared" si="5"/>
        <v>3529.4117647058824</v>
      </c>
      <c r="N25" s="6">
        <f t="shared" si="6"/>
        <v>670.58823529411768</v>
      </c>
      <c r="O25" s="15">
        <f>4200</f>
        <v>4200</v>
      </c>
      <c r="P25" s="6">
        <f t="shared" si="7"/>
        <v>0</v>
      </c>
      <c r="Q25" s="6">
        <f t="shared" si="8"/>
        <v>0</v>
      </c>
      <c r="R25" s="15"/>
      <c r="S25" s="6">
        <f t="shared" si="9"/>
        <v>0</v>
      </c>
      <c r="T25" s="6">
        <f t="shared" si="10"/>
        <v>0</v>
      </c>
      <c r="U25" s="15"/>
      <c r="V25" s="6">
        <f t="shared" si="11"/>
        <v>0</v>
      </c>
      <c r="W25" s="6">
        <f t="shared" si="12"/>
        <v>0</v>
      </c>
      <c r="X25" s="15"/>
      <c r="Y25" s="6">
        <f t="shared" si="13"/>
        <v>1260.5042016806724</v>
      </c>
      <c r="Z25" s="6">
        <f t="shared" si="14"/>
        <v>239.49579831932775</v>
      </c>
      <c r="AA25" s="15">
        <v>1500</v>
      </c>
      <c r="AB25" s="6">
        <f t="shared" si="15"/>
        <v>0</v>
      </c>
      <c r="AC25" s="6">
        <f t="shared" si="16"/>
        <v>0</v>
      </c>
      <c r="AD25" s="15"/>
      <c r="AE25" s="6">
        <f t="shared" si="17"/>
        <v>0</v>
      </c>
      <c r="AF25" s="6">
        <f t="shared" si="18"/>
        <v>0</v>
      </c>
      <c r="AG25" s="15"/>
      <c r="AH25" s="6">
        <f t="shared" si="19"/>
        <v>0</v>
      </c>
      <c r="AI25" s="6">
        <f t="shared" si="20"/>
        <v>0</v>
      </c>
      <c r="AJ25" s="15"/>
      <c r="AK25" s="6">
        <f t="shared" si="21"/>
        <v>0</v>
      </c>
      <c r="AL25" s="6">
        <f t="shared" si="22"/>
        <v>0</v>
      </c>
      <c r="AM25" s="15"/>
      <c r="AN25" s="6">
        <f t="shared" si="23"/>
        <v>0</v>
      </c>
      <c r="AO25" s="6">
        <f t="shared" si="24"/>
        <v>0</v>
      </c>
      <c r="AP25" s="15"/>
      <c r="AQ25" s="6">
        <f t="shared" si="25"/>
        <v>0</v>
      </c>
      <c r="AR25" s="6">
        <f t="shared" si="26"/>
        <v>0</v>
      </c>
      <c r="AS25" s="15"/>
      <c r="AT25" s="6">
        <f t="shared" si="27"/>
        <v>0</v>
      </c>
      <c r="AU25" s="6">
        <f t="shared" si="28"/>
        <v>0</v>
      </c>
      <c r="AV25" s="15"/>
      <c r="AW25" s="54">
        <f t="shared" si="29"/>
        <v>4066.6666666666665</v>
      </c>
      <c r="AX25" s="52">
        <f t="shared" si="30"/>
        <v>4067</v>
      </c>
    </row>
    <row r="26" spans="1:50" ht="30" customHeight="1" x14ac:dyDescent="0.25">
      <c r="A26" s="4">
        <v>17</v>
      </c>
      <c r="B26" s="55">
        <v>13102000</v>
      </c>
      <c r="C26" s="55" t="s">
        <v>55</v>
      </c>
      <c r="D26" s="4" t="s">
        <v>99</v>
      </c>
      <c r="E26" s="4" t="s">
        <v>56</v>
      </c>
      <c r="F26" s="4">
        <v>1</v>
      </c>
      <c r="G26" s="7">
        <f t="shared" si="1"/>
        <v>0</v>
      </c>
      <c r="H26" s="7">
        <f t="shared" si="2"/>
        <v>0</v>
      </c>
      <c r="I26" s="15"/>
      <c r="J26" s="6">
        <f t="shared" si="3"/>
        <v>4957.9831932773113</v>
      </c>
      <c r="K26" s="6">
        <f t="shared" si="4"/>
        <v>942.01680672268913</v>
      </c>
      <c r="L26" s="15">
        <v>5900</v>
      </c>
      <c r="M26" s="6">
        <f t="shared" si="5"/>
        <v>8235.2941176470595</v>
      </c>
      <c r="N26" s="6">
        <f t="shared" si="6"/>
        <v>1564.7058823529412</v>
      </c>
      <c r="O26" s="15">
        <v>9800</v>
      </c>
      <c r="P26" s="6">
        <f t="shared" si="7"/>
        <v>0</v>
      </c>
      <c r="Q26" s="6">
        <f t="shared" si="8"/>
        <v>0</v>
      </c>
      <c r="R26" s="15"/>
      <c r="S26" s="6">
        <f t="shared" si="9"/>
        <v>0</v>
      </c>
      <c r="T26" s="6">
        <f t="shared" si="10"/>
        <v>0</v>
      </c>
      <c r="U26" s="15"/>
      <c r="V26" s="6">
        <f t="shared" si="11"/>
        <v>0</v>
      </c>
      <c r="W26" s="6">
        <f t="shared" si="12"/>
        <v>0</v>
      </c>
      <c r="X26" s="15"/>
      <c r="Y26" s="6">
        <f t="shared" si="13"/>
        <v>0</v>
      </c>
      <c r="Z26" s="6">
        <f t="shared" si="14"/>
        <v>0</v>
      </c>
      <c r="AA26" s="15"/>
      <c r="AB26" s="6">
        <f t="shared" si="15"/>
        <v>0</v>
      </c>
      <c r="AC26" s="6">
        <f t="shared" si="16"/>
        <v>0</v>
      </c>
      <c r="AD26" s="15"/>
      <c r="AE26" s="6">
        <f t="shared" si="17"/>
        <v>0</v>
      </c>
      <c r="AF26" s="6">
        <f t="shared" si="18"/>
        <v>0</v>
      </c>
      <c r="AG26" s="15"/>
      <c r="AH26" s="6">
        <f t="shared" si="19"/>
        <v>0</v>
      </c>
      <c r="AI26" s="6">
        <f t="shared" si="20"/>
        <v>0</v>
      </c>
      <c r="AJ26" s="15"/>
      <c r="AK26" s="6">
        <f t="shared" si="21"/>
        <v>0</v>
      </c>
      <c r="AL26" s="6">
        <f t="shared" si="22"/>
        <v>0</v>
      </c>
      <c r="AM26" s="15"/>
      <c r="AN26" s="6">
        <f t="shared" si="23"/>
        <v>0</v>
      </c>
      <c r="AO26" s="6">
        <f t="shared" si="24"/>
        <v>0</v>
      </c>
      <c r="AP26" s="15"/>
      <c r="AQ26" s="6">
        <f t="shared" si="25"/>
        <v>0</v>
      </c>
      <c r="AR26" s="6">
        <f t="shared" si="26"/>
        <v>0</v>
      </c>
      <c r="AS26" s="15"/>
      <c r="AT26" s="6">
        <f t="shared" si="27"/>
        <v>6764.7058823529414</v>
      </c>
      <c r="AU26" s="6">
        <f t="shared" si="28"/>
        <v>1285.2941176470588</v>
      </c>
      <c r="AV26" s="15">
        <v>8050</v>
      </c>
      <c r="AW26" s="54">
        <f t="shared" si="29"/>
        <v>7916.666666666667</v>
      </c>
      <c r="AX26" s="52">
        <f t="shared" si="30"/>
        <v>7917</v>
      </c>
    </row>
    <row r="27" spans="1:50" ht="45" x14ac:dyDescent="0.25">
      <c r="A27" s="4">
        <v>18</v>
      </c>
      <c r="B27" s="55"/>
      <c r="C27" s="55"/>
      <c r="D27" s="8" t="s">
        <v>100</v>
      </c>
      <c r="E27" s="4" t="s">
        <v>14</v>
      </c>
      <c r="F27" s="4">
        <v>1</v>
      </c>
      <c r="G27" s="7">
        <f t="shared" si="1"/>
        <v>0</v>
      </c>
      <c r="H27" s="7">
        <f t="shared" si="2"/>
        <v>0</v>
      </c>
      <c r="I27" s="15"/>
      <c r="J27" s="6">
        <f t="shared" si="3"/>
        <v>6722.6890756302528</v>
      </c>
      <c r="K27" s="6">
        <f t="shared" si="4"/>
        <v>1277.3109243697481</v>
      </c>
      <c r="L27" s="15">
        <v>8000</v>
      </c>
      <c r="M27" s="6">
        <f t="shared" si="5"/>
        <v>9915.9663865546227</v>
      </c>
      <c r="N27" s="6">
        <f t="shared" si="6"/>
        <v>1884.0336134453783</v>
      </c>
      <c r="O27" s="15">
        <v>11800</v>
      </c>
      <c r="P27" s="6">
        <f t="shared" si="7"/>
        <v>0</v>
      </c>
      <c r="Q27" s="6">
        <f t="shared" si="8"/>
        <v>0</v>
      </c>
      <c r="R27" s="15"/>
      <c r="S27" s="6">
        <f t="shared" si="9"/>
        <v>7478.9915966386561</v>
      </c>
      <c r="T27" s="6">
        <f t="shared" si="10"/>
        <v>1421.0084033613448</v>
      </c>
      <c r="U27" s="15">
        <v>8900</v>
      </c>
      <c r="V27" s="6">
        <f t="shared" si="11"/>
        <v>0</v>
      </c>
      <c r="W27" s="6">
        <f t="shared" si="12"/>
        <v>0</v>
      </c>
      <c r="X27" s="15"/>
      <c r="Y27" s="6">
        <f t="shared" si="13"/>
        <v>0</v>
      </c>
      <c r="Z27" s="6">
        <f t="shared" si="14"/>
        <v>0</v>
      </c>
      <c r="AA27" s="15"/>
      <c r="AB27" s="6">
        <f t="shared" si="15"/>
        <v>0</v>
      </c>
      <c r="AC27" s="6">
        <f t="shared" si="16"/>
        <v>0</v>
      </c>
      <c r="AD27" s="15"/>
      <c r="AE27" s="6">
        <f t="shared" si="17"/>
        <v>0</v>
      </c>
      <c r="AF27" s="6">
        <f t="shared" si="18"/>
        <v>0</v>
      </c>
      <c r="AG27" s="15"/>
      <c r="AH27" s="6">
        <f t="shared" si="19"/>
        <v>0</v>
      </c>
      <c r="AI27" s="6">
        <f t="shared" si="20"/>
        <v>0</v>
      </c>
      <c r="AJ27" s="15"/>
      <c r="AK27" s="6">
        <f t="shared" si="21"/>
        <v>0</v>
      </c>
      <c r="AL27" s="6">
        <f t="shared" si="22"/>
        <v>0</v>
      </c>
      <c r="AM27" s="15"/>
      <c r="AN27" s="6">
        <f t="shared" si="23"/>
        <v>0</v>
      </c>
      <c r="AO27" s="6">
        <f t="shared" si="24"/>
        <v>0</v>
      </c>
      <c r="AP27" s="15"/>
      <c r="AQ27" s="6">
        <f t="shared" si="25"/>
        <v>0</v>
      </c>
      <c r="AR27" s="6">
        <f t="shared" si="26"/>
        <v>0</v>
      </c>
      <c r="AS27" s="15"/>
      <c r="AT27" s="6">
        <f t="shared" si="27"/>
        <v>0</v>
      </c>
      <c r="AU27" s="6">
        <f t="shared" si="28"/>
        <v>0</v>
      </c>
      <c r="AV27" s="15"/>
      <c r="AW27" s="54">
        <f t="shared" si="29"/>
        <v>9566.6666666666661</v>
      </c>
      <c r="AX27" s="52">
        <f t="shared" si="30"/>
        <v>9567</v>
      </c>
    </row>
    <row r="28" spans="1:50" ht="30" x14ac:dyDescent="0.25">
      <c r="A28" s="4">
        <v>19</v>
      </c>
      <c r="B28" s="4">
        <v>27112029</v>
      </c>
      <c r="C28" s="4" t="s">
        <v>57</v>
      </c>
      <c r="D28" s="4" t="s">
        <v>101</v>
      </c>
      <c r="E28" s="4" t="s">
        <v>14</v>
      </c>
      <c r="F28" s="4">
        <v>1</v>
      </c>
      <c r="G28" s="7">
        <f t="shared" si="1"/>
        <v>21008.403361344539</v>
      </c>
      <c r="H28" s="7">
        <f t="shared" si="2"/>
        <v>3991.5966386554624</v>
      </c>
      <c r="I28" s="15">
        <v>25000</v>
      </c>
      <c r="J28" s="6">
        <f t="shared" si="3"/>
        <v>20168.067226890758</v>
      </c>
      <c r="K28" s="6">
        <f t="shared" si="4"/>
        <v>3831.932773109244</v>
      </c>
      <c r="L28" s="15">
        <v>24000</v>
      </c>
      <c r="M28" s="6">
        <f t="shared" si="5"/>
        <v>18487.394957983193</v>
      </c>
      <c r="N28" s="6">
        <f t="shared" si="6"/>
        <v>3512.6050420168067</v>
      </c>
      <c r="O28" s="15">
        <f>22000</f>
        <v>22000</v>
      </c>
      <c r="P28" s="6">
        <f t="shared" si="7"/>
        <v>0</v>
      </c>
      <c r="Q28" s="6">
        <f t="shared" si="8"/>
        <v>0</v>
      </c>
      <c r="R28" s="15"/>
      <c r="S28" s="6">
        <f t="shared" si="9"/>
        <v>28487.394957983193</v>
      </c>
      <c r="T28" s="6">
        <f t="shared" si="10"/>
        <v>5412.6050420168067</v>
      </c>
      <c r="U28" s="15">
        <v>33900</v>
      </c>
      <c r="V28" s="6">
        <f t="shared" si="11"/>
        <v>0</v>
      </c>
      <c r="W28" s="6">
        <f t="shared" si="12"/>
        <v>0</v>
      </c>
      <c r="X28" s="15"/>
      <c r="Y28" s="6">
        <f t="shared" si="13"/>
        <v>0</v>
      </c>
      <c r="Z28" s="6">
        <f t="shared" si="14"/>
        <v>0</v>
      </c>
      <c r="AA28" s="15"/>
      <c r="AB28" s="6">
        <f t="shared" si="15"/>
        <v>0</v>
      </c>
      <c r="AC28" s="6">
        <f t="shared" si="16"/>
        <v>0</v>
      </c>
      <c r="AD28" s="15"/>
      <c r="AE28" s="6">
        <f t="shared" si="17"/>
        <v>0</v>
      </c>
      <c r="AF28" s="6">
        <f t="shared" si="18"/>
        <v>0</v>
      </c>
      <c r="AG28" s="15"/>
      <c r="AH28" s="6">
        <f t="shared" si="19"/>
        <v>0</v>
      </c>
      <c r="AI28" s="6">
        <f t="shared" si="20"/>
        <v>0</v>
      </c>
      <c r="AJ28" s="15"/>
      <c r="AK28" s="6">
        <f t="shared" si="21"/>
        <v>0</v>
      </c>
      <c r="AL28" s="6">
        <f t="shared" si="22"/>
        <v>0</v>
      </c>
      <c r="AM28" s="15"/>
      <c r="AN28" s="6">
        <f t="shared" si="23"/>
        <v>0</v>
      </c>
      <c r="AO28" s="6">
        <f t="shared" si="24"/>
        <v>0</v>
      </c>
      <c r="AP28" s="15"/>
      <c r="AQ28" s="6">
        <f t="shared" si="25"/>
        <v>0</v>
      </c>
      <c r="AR28" s="6">
        <f t="shared" si="26"/>
        <v>0</v>
      </c>
      <c r="AS28" s="15"/>
      <c r="AT28" s="6">
        <f t="shared" si="27"/>
        <v>0</v>
      </c>
      <c r="AU28" s="6">
        <f t="shared" si="28"/>
        <v>0</v>
      </c>
      <c r="AV28" s="15"/>
      <c r="AW28" s="54">
        <f t="shared" si="29"/>
        <v>26225</v>
      </c>
      <c r="AX28" s="52">
        <f t="shared" si="30"/>
        <v>26225</v>
      </c>
    </row>
    <row r="29" spans="1:50" ht="45" x14ac:dyDescent="0.25">
      <c r="A29" s="4">
        <v>20</v>
      </c>
      <c r="B29" s="55">
        <v>27112004</v>
      </c>
      <c r="C29" s="55" t="s">
        <v>58</v>
      </c>
      <c r="D29" s="8" t="s">
        <v>59</v>
      </c>
      <c r="E29" s="4" t="s">
        <v>14</v>
      </c>
      <c r="F29" s="4">
        <v>1</v>
      </c>
      <c r="G29" s="7">
        <f t="shared" si="1"/>
        <v>0</v>
      </c>
      <c r="H29" s="7">
        <f t="shared" si="2"/>
        <v>0</v>
      </c>
      <c r="I29" s="16"/>
      <c r="J29" s="6">
        <f t="shared" si="3"/>
        <v>31200</v>
      </c>
      <c r="K29" s="6">
        <f t="shared" si="4"/>
        <v>5928</v>
      </c>
      <c r="L29" s="18">
        <v>37128</v>
      </c>
      <c r="M29" s="6">
        <f t="shared" si="5"/>
        <v>32773.10924369748</v>
      </c>
      <c r="N29" s="6">
        <f t="shared" si="6"/>
        <v>6226.8907563025214</v>
      </c>
      <c r="O29" s="15">
        <f>39000</f>
        <v>39000</v>
      </c>
      <c r="P29" s="6">
        <f t="shared" si="7"/>
        <v>0</v>
      </c>
      <c r="Q29" s="6">
        <f t="shared" si="8"/>
        <v>0</v>
      </c>
      <c r="R29" s="16"/>
      <c r="S29" s="6">
        <f t="shared" si="9"/>
        <v>41932.773109243702</v>
      </c>
      <c r="T29" s="6">
        <f t="shared" si="10"/>
        <v>7967.2268907563039</v>
      </c>
      <c r="U29" s="15">
        <v>49900</v>
      </c>
      <c r="V29" s="6">
        <f t="shared" si="11"/>
        <v>28323.529411764706</v>
      </c>
      <c r="W29" s="6">
        <f t="shared" si="12"/>
        <v>5381.4705882352946</v>
      </c>
      <c r="X29" s="15">
        <v>33705</v>
      </c>
      <c r="Y29" s="6">
        <f t="shared" si="13"/>
        <v>0</v>
      </c>
      <c r="Z29" s="6">
        <f t="shared" si="14"/>
        <v>0</v>
      </c>
      <c r="AA29" s="15"/>
      <c r="AB29" s="6">
        <f t="shared" si="15"/>
        <v>0</v>
      </c>
      <c r="AC29" s="6">
        <f t="shared" si="16"/>
        <v>0</v>
      </c>
      <c r="AD29" s="15"/>
      <c r="AE29" s="6">
        <f t="shared" si="17"/>
        <v>0</v>
      </c>
      <c r="AF29" s="6">
        <f t="shared" si="18"/>
        <v>0</v>
      </c>
      <c r="AG29" s="15"/>
      <c r="AH29" s="6">
        <f t="shared" si="19"/>
        <v>0</v>
      </c>
      <c r="AI29" s="6">
        <f t="shared" si="20"/>
        <v>0</v>
      </c>
      <c r="AJ29" s="15"/>
      <c r="AK29" s="6">
        <f t="shared" si="21"/>
        <v>0</v>
      </c>
      <c r="AL29" s="6">
        <f t="shared" si="22"/>
        <v>0</v>
      </c>
      <c r="AM29" s="15"/>
      <c r="AN29" s="6">
        <f t="shared" si="23"/>
        <v>20168.067226890758</v>
      </c>
      <c r="AO29" s="6">
        <f t="shared" si="24"/>
        <v>3831.932773109244</v>
      </c>
      <c r="AP29" s="15">
        <v>24000</v>
      </c>
      <c r="AQ29" s="6">
        <f t="shared" si="25"/>
        <v>0</v>
      </c>
      <c r="AR29" s="6">
        <f t="shared" si="26"/>
        <v>0</v>
      </c>
      <c r="AS29" s="15"/>
      <c r="AT29" s="6">
        <f t="shared" si="27"/>
        <v>0</v>
      </c>
      <c r="AU29" s="6">
        <f t="shared" si="28"/>
        <v>0</v>
      </c>
      <c r="AV29" s="15"/>
      <c r="AW29" s="54">
        <f t="shared" si="29"/>
        <v>36746.6</v>
      </c>
      <c r="AX29" s="52">
        <f t="shared" si="30"/>
        <v>36747</v>
      </c>
    </row>
    <row r="30" spans="1:50" ht="30" x14ac:dyDescent="0.25">
      <c r="A30" s="4">
        <v>21</v>
      </c>
      <c r="B30" s="55"/>
      <c r="C30" s="55"/>
      <c r="D30" s="8" t="s">
        <v>60</v>
      </c>
      <c r="E30" s="4" t="s">
        <v>14</v>
      </c>
      <c r="F30" s="4">
        <v>1</v>
      </c>
      <c r="G30" s="7">
        <f t="shared" si="1"/>
        <v>0</v>
      </c>
      <c r="H30" s="7">
        <f t="shared" si="2"/>
        <v>0</v>
      </c>
      <c r="I30" s="16"/>
      <c r="J30" s="6">
        <f t="shared" si="3"/>
        <v>42900</v>
      </c>
      <c r="K30" s="6">
        <f t="shared" si="4"/>
        <v>8151</v>
      </c>
      <c r="L30" s="19">
        <v>51051</v>
      </c>
      <c r="M30" s="6">
        <f t="shared" si="5"/>
        <v>50336.134453781517</v>
      </c>
      <c r="N30" s="6">
        <f t="shared" si="6"/>
        <v>9563.8655462184888</v>
      </c>
      <c r="O30" s="15">
        <f>59900</f>
        <v>59900</v>
      </c>
      <c r="P30" s="6">
        <f t="shared" si="7"/>
        <v>0</v>
      </c>
      <c r="Q30" s="6">
        <f t="shared" si="8"/>
        <v>0</v>
      </c>
      <c r="R30" s="16"/>
      <c r="S30" s="6">
        <f t="shared" si="9"/>
        <v>50336.134453781517</v>
      </c>
      <c r="T30" s="6">
        <f t="shared" si="10"/>
        <v>9563.8655462184888</v>
      </c>
      <c r="U30" s="15">
        <v>59900</v>
      </c>
      <c r="V30" s="6">
        <f t="shared" si="11"/>
        <v>41205.882352941175</v>
      </c>
      <c r="W30" s="6">
        <f t="shared" si="12"/>
        <v>7829.1176470588234</v>
      </c>
      <c r="X30" s="15">
        <v>49035</v>
      </c>
      <c r="Y30" s="6">
        <f t="shared" si="13"/>
        <v>0</v>
      </c>
      <c r="Z30" s="6">
        <f t="shared" si="14"/>
        <v>0</v>
      </c>
      <c r="AA30" s="15"/>
      <c r="AB30" s="6">
        <f t="shared" si="15"/>
        <v>0</v>
      </c>
      <c r="AC30" s="6">
        <f t="shared" si="16"/>
        <v>0</v>
      </c>
      <c r="AD30" s="15"/>
      <c r="AE30" s="6">
        <f t="shared" si="17"/>
        <v>0</v>
      </c>
      <c r="AF30" s="6">
        <f t="shared" si="18"/>
        <v>0</v>
      </c>
      <c r="AG30" s="15"/>
      <c r="AH30" s="6">
        <f t="shared" si="19"/>
        <v>0</v>
      </c>
      <c r="AI30" s="6">
        <f t="shared" si="20"/>
        <v>0</v>
      </c>
      <c r="AJ30" s="15"/>
      <c r="AK30" s="6">
        <f t="shared" si="21"/>
        <v>0</v>
      </c>
      <c r="AL30" s="6">
        <f t="shared" si="22"/>
        <v>0</v>
      </c>
      <c r="AM30" s="15"/>
      <c r="AN30" s="6">
        <f t="shared" si="23"/>
        <v>0</v>
      </c>
      <c r="AO30" s="6">
        <f t="shared" si="24"/>
        <v>0</v>
      </c>
      <c r="AP30" s="15"/>
      <c r="AQ30" s="6">
        <f t="shared" si="25"/>
        <v>0</v>
      </c>
      <c r="AR30" s="6">
        <f t="shared" si="26"/>
        <v>0</v>
      </c>
      <c r="AS30" s="15"/>
      <c r="AT30" s="6">
        <f t="shared" si="27"/>
        <v>0</v>
      </c>
      <c r="AU30" s="6">
        <f t="shared" si="28"/>
        <v>0</v>
      </c>
      <c r="AV30" s="15"/>
      <c r="AW30" s="54">
        <f t="shared" si="29"/>
        <v>54971.5</v>
      </c>
      <c r="AX30" s="52">
        <f t="shared" si="30"/>
        <v>54972</v>
      </c>
    </row>
    <row r="31" spans="1:50" ht="45" x14ac:dyDescent="0.25">
      <c r="A31" s="4">
        <v>22</v>
      </c>
      <c r="B31" s="4">
        <v>27112023</v>
      </c>
      <c r="C31" s="4" t="s">
        <v>61</v>
      </c>
      <c r="D31" s="8" t="s">
        <v>62</v>
      </c>
      <c r="E31" s="4" t="s">
        <v>14</v>
      </c>
      <c r="F31" s="4">
        <v>1</v>
      </c>
      <c r="G31" s="7">
        <f t="shared" si="1"/>
        <v>0</v>
      </c>
      <c r="H31" s="7">
        <f t="shared" si="2"/>
        <v>0</v>
      </c>
      <c r="I31" s="15"/>
      <c r="J31" s="6">
        <f t="shared" si="3"/>
        <v>24049.579831932773</v>
      </c>
      <c r="K31" s="6">
        <f t="shared" si="4"/>
        <v>4569.4201680672268</v>
      </c>
      <c r="L31" s="15">
        <v>28619</v>
      </c>
      <c r="M31" s="6">
        <f t="shared" si="5"/>
        <v>23949.579831932773</v>
      </c>
      <c r="N31" s="6">
        <f t="shared" si="6"/>
        <v>4550.4201680672268</v>
      </c>
      <c r="O31" s="15">
        <v>28500</v>
      </c>
      <c r="P31" s="6">
        <f t="shared" si="7"/>
        <v>0</v>
      </c>
      <c r="Q31" s="6">
        <f t="shared" si="8"/>
        <v>0</v>
      </c>
      <c r="R31" s="15"/>
      <c r="S31" s="6">
        <f t="shared" si="9"/>
        <v>20924.36974789916</v>
      </c>
      <c r="T31" s="6">
        <f t="shared" si="10"/>
        <v>3975.6302521008406</v>
      </c>
      <c r="U31" s="15">
        <v>24900</v>
      </c>
      <c r="V31" s="6">
        <f t="shared" si="11"/>
        <v>8029.4117647058829</v>
      </c>
      <c r="W31" s="6">
        <f t="shared" si="12"/>
        <v>1525.5882352941178</v>
      </c>
      <c r="X31" s="15">
        <v>9555</v>
      </c>
      <c r="Y31" s="6">
        <f t="shared" si="13"/>
        <v>0</v>
      </c>
      <c r="Z31" s="6">
        <f t="shared" si="14"/>
        <v>0</v>
      </c>
      <c r="AA31" s="15"/>
      <c r="AB31" s="6">
        <f t="shared" si="15"/>
        <v>0</v>
      </c>
      <c r="AC31" s="6">
        <f t="shared" si="16"/>
        <v>0</v>
      </c>
      <c r="AD31" s="15"/>
      <c r="AE31" s="6">
        <f t="shared" si="17"/>
        <v>0</v>
      </c>
      <c r="AF31" s="6">
        <f t="shared" si="18"/>
        <v>0</v>
      </c>
      <c r="AG31" s="15"/>
      <c r="AH31" s="6">
        <f t="shared" si="19"/>
        <v>0</v>
      </c>
      <c r="AI31" s="6">
        <f t="shared" si="20"/>
        <v>0</v>
      </c>
      <c r="AJ31" s="15"/>
      <c r="AK31" s="6">
        <f t="shared" si="21"/>
        <v>0</v>
      </c>
      <c r="AL31" s="6">
        <f t="shared" si="22"/>
        <v>0</v>
      </c>
      <c r="AM31" s="15"/>
      <c r="AN31" s="6">
        <f t="shared" si="23"/>
        <v>0</v>
      </c>
      <c r="AO31" s="6">
        <f t="shared" si="24"/>
        <v>0</v>
      </c>
      <c r="AP31" s="15"/>
      <c r="AQ31" s="6">
        <f t="shared" si="25"/>
        <v>0</v>
      </c>
      <c r="AR31" s="6">
        <f t="shared" si="26"/>
        <v>0</v>
      </c>
      <c r="AS31" s="15"/>
      <c r="AT31" s="6">
        <f t="shared" si="27"/>
        <v>0</v>
      </c>
      <c r="AU31" s="6">
        <f t="shared" si="28"/>
        <v>0</v>
      </c>
      <c r="AV31" s="15"/>
      <c r="AW31" s="54">
        <f t="shared" si="29"/>
        <v>22893.5</v>
      </c>
      <c r="AX31" s="52">
        <f t="shared" si="30"/>
        <v>22894</v>
      </c>
    </row>
    <row r="32" spans="1:50" ht="75" x14ac:dyDescent="0.25">
      <c r="A32" s="4">
        <v>23</v>
      </c>
      <c r="B32" s="4">
        <v>27112000</v>
      </c>
      <c r="C32" s="4" t="s">
        <v>63</v>
      </c>
      <c r="D32" s="8" t="s">
        <v>64</v>
      </c>
      <c r="E32" s="4" t="s">
        <v>14</v>
      </c>
      <c r="F32" s="4">
        <v>1</v>
      </c>
      <c r="G32" s="7">
        <f t="shared" si="1"/>
        <v>0</v>
      </c>
      <c r="H32" s="7">
        <f t="shared" si="2"/>
        <v>0</v>
      </c>
      <c r="I32" s="15"/>
      <c r="J32" s="6">
        <f t="shared" si="3"/>
        <v>93600</v>
      </c>
      <c r="K32" s="6">
        <f t="shared" si="4"/>
        <v>17784</v>
      </c>
      <c r="L32" s="15">
        <v>111384</v>
      </c>
      <c r="M32" s="6">
        <f t="shared" si="5"/>
        <v>136134.45378151262</v>
      </c>
      <c r="N32" s="6">
        <f t="shared" si="6"/>
        <v>25865.546218487398</v>
      </c>
      <c r="O32" s="15">
        <f>162000</f>
        <v>162000</v>
      </c>
      <c r="P32" s="6">
        <f t="shared" si="7"/>
        <v>0</v>
      </c>
      <c r="Q32" s="6">
        <f t="shared" si="8"/>
        <v>0</v>
      </c>
      <c r="R32" s="15"/>
      <c r="S32" s="6">
        <f t="shared" si="9"/>
        <v>57058.823529411769</v>
      </c>
      <c r="T32" s="6">
        <f t="shared" si="10"/>
        <v>10841.176470588236</v>
      </c>
      <c r="U32" s="15">
        <v>67900</v>
      </c>
      <c r="V32" s="6">
        <f t="shared" si="11"/>
        <v>84000</v>
      </c>
      <c r="W32" s="6">
        <f t="shared" si="12"/>
        <v>15960</v>
      </c>
      <c r="X32" s="15">
        <v>99960</v>
      </c>
      <c r="Y32" s="6">
        <f t="shared" si="13"/>
        <v>0</v>
      </c>
      <c r="Z32" s="6">
        <f t="shared" si="14"/>
        <v>0</v>
      </c>
      <c r="AA32" s="15"/>
      <c r="AB32" s="6">
        <f t="shared" si="15"/>
        <v>0</v>
      </c>
      <c r="AC32" s="6">
        <f t="shared" si="16"/>
        <v>0</v>
      </c>
      <c r="AD32" s="15"/>
      <c r="AE32" s="6">
        <f t="shared" si="17"/>
        <v>0</v>
      </c>
      <c r="AF32" s="6">
        <f t="shared" si="18"/>
        <v>0</v>
      </c>
      <c r="AG32" s="15"/>
      <c r="AH32" s="6">
        <f t="shared" si="19"/>
        <v>0</v>
      </c>
      <c r="AI32" s="6">
        <f t="shared" si="20"/>
        <v>0</v>
      </c>
      <c r="AJ32" s="15"/>
      <c r="AK32" s="6">
        <f t="shared" si="21"/>
        <v>0</v>
      </c>
      <c r="AL32" s="6">
        <f t="shared" si="22"/>
        <v>0</v>
      </c>
      <c r="AM32" s="15"/>
      <c r="AN32" s="6">
        <f t="shared" si="23"/>
        <v>0</v>
      </c>
      <c r="AO32" s="6">
        <f t="shared" si="24"/>
        <v>0</v>
      </c>
      <c r="AP32" s="15"/>
      <c r="AQ32" s="6">
        <f t="shared" si="25"/>
        <v>0</v>
      </c>
      <c r="AR32" s="6">
        <f t="shared" si="26"/>
        <v>0</v>
      </c>
      <c r="AS32" s="15"/>
      <c r="AT32" s="6">
        <f t="shared" si="27"/>
        <v>0</v>
      </c>
      <c r="AU32" s="6">
        <f t="shared" si="28"/>
        <v>0</v>
      </c>
      <c r="AV32" s="15"/>
      <c r="AW32" s="54">
        <f t="shared" si="29"/>
        <v>110311</v>
      </c>
      <c r="AX32" s="52">
        <f t="shared" si="30"/>
        <v>110311</v>
      </c>
    </row>
    <row r="33" spans="1:50" ht="30" x14ac:dyDescent="0.25">
      <c r="A33" s="4">
        <v>24</v>
      </c>
      <c r="B33" s="4">
        <v>27112002</v>
      </c>
      <c r="C33" s="4" t="s">
        <v>65</v>
      </c>
      <c r="D33" s="8" t="s">
        <v>66</v>
      </c>
      <c r="E33" s="4" t="s">
        <v>14</v>
      </c>
      <c r="F33" s="4">
        <v>1</v>
      </c>
      <c r="G33" s="7">
        <f t="shared" si="1"/>
        <v>0</v>
      </c>
      <c r="H33" s="7">
        <f t="shared" si="2"/>
        <v>0</v>
      </c>
      <c r="I33" s="15"/>
      <c r="J33" s="6">
        <f t="shared" si="3"/>
        <v>63700</v>
      </c>
      <c r="K33" s="6">
        <f t="shared" si="4"/>
        <v>12103</v>
      </c>
      <c r="L33" s="15">
        <v>75803</v>
      </c>
      <c r="M33" s="6">
        <f t="shared" si="5"/>
        <v>31092.436974789918</v>
      </c>
      <c r="N33" s="6">
        <f t="shared" si="6"/>
        <v>5907.5630252100846</v>
      </c>
      <c r="O33" s="15">
        <f>37000</f>
        <v>37000</v>
      </c>
      <c r="P33" s="6">
        <f t="shared" si="7"/>
        <v>0</v>
      </c>
      <c r="Q33" s="6">
        <f t="shared" si="8"/>
        <v>0</v>
      </c>
      <c r="R33" s="15"/>
      <c r="S33" s="6">
        <f t="shared" si="9"/>
        <v>36050.420168067227</v>
      </c>
      <c r="T33" s="6">
        <f t="shared" si="10"/>
        <v>6849.5798319327732</v>
      </c>
      <c r="U33" s="15">
        <v>42900</v>
      </c>
      <c r="V33" s="6">
        <f t="shared" si="11"/>
        <v>42352.941176470587</v>
      </c>
      <c r="W33" s="6">
        <f t="shared" si="12"/>
        <v>8047.0588235294117</v>
      </c>
      <c r="X33" s="15">
        <v>50400</v>
      </c>
      <c r="Y33" s="6">
        <f t="shared" si="13"/>
        <v>0</v>
      </c>
      <c r="Z33" s="6">
        <f t="shared" si="14"/>
        <v>0</v>
      </c>
      <c r="AA33" s="15"/>
      <c r="AB33" s="6">
        <f t="shared" si="15"/>
        <v>0</v>
      </c>
      <c r="AC33" s="6">
        <f t="shared" si="16"/>
        <v>0</v>
      </c>
      <c r="AD33" s="15"/>
      <c r="AE33" s="6">
        <f t="shared" si="17"/>
        <v>0</v>
      </c>
      <c r="AF33" s="6">
        <f t="shared" si="18"/>
        <v>0</v>
      </c>
      <c r="AG33" s="15"/>
      <c r="AH33" s="6">
        <f t="shared" si="19"/>
        <v>0</v>
      </c>
      <c r="AI33" s="6">
        <f t="shared" si="20"/>
        <v>0</v>
      </c>
      <c r="AJ33" s="15"/>
      <c r="AK33" s="6">
        <f t="shared" si="21"/>
        <v>0</v>
      </c>
      <c r="AL33" s="6">
        <f t="shared" si="22"/>
        <v>0</v>
      </c>
      <c r="AM33" s="15"/>
      <c r="AN33" s="6">
        <f t="shared" si="23"/>
        <v>0</v>
      </c>
      <c r="AO33" s="6">
        <f t="shared" si="24"/>
        <v>0</v>
      </c>
      <c r="AP33" s="15"/>
      <c r="AQ33" s="6">
        <f t="shared" si="25"/>
        <v>0</v>
      </c>
      <c r="AR33" s="6">
        <f t="shared" si="26"/>
        <v>0</v>
      </c>
      <c r="AS33" s="15"/>
      <c r="AT33" s="6">
        <f t="shared" si="27"/>
        <v>0</v>
      </c>
      <c r="AU33" s="6">
        <f t="shared" si="28"/>
        <v>0</v>
      </c>
      <c r="AV33" s="15"/>
      <c r="AW33" s="54">
        <f t="shared" si="29"/>
        <v>51525.75</v>
      </c>
      <c r="AX33" s="52">
        <f t="shared" si="30"/>
        <v>51526</v>
      </c>
    </row>
    <row r="34" spans="1:50" x14ac:dyDescent="0.25">
      <c r="A34" s="4">
        <v>25</v>
      </c>
      <c r="B34" s="4">
        <v>27112001</v>
      </c>
      <c r="C34" s="4" t="s">
        <v>67</v>
      </c>
      <c r="D34" s="8" t="s">
        <v>106</v>
      </c>
      <c r="E34" s="4" t="s">
        <v>14</v>
      </c>
      <c r="F34" s="4">
        <v>1</v>
      </c>
      <c r="G34" s="7">
        <f t="shared" si="1"/>
        <v>0</v>
      </c>
      <c r="H34" s="7">
        <f t="shared" si="2"/>
        <v>0</v>
      </c>
      <c r="I34" s="15"/>
      <c r="J34" s="6">
        <f t="shared" si="3"/>
        <v>0</v>
      </c>
      <c r="K34" s="6">
        <f t="shared" si="4"/>
        <v>0</v>
      </c>
      <c r="L34" s="15"/>
      <c r="M34" s="6">
        <f t="shared" si="5"/>
        <v>22689.0756302521</v>
      </c>
      <c r="N34" s="6">
        <f t="shared" si="6"/>
        <v>4310.9243697478987</v>
      </c>
      <c r="O34" s="15">
        <f>27000</f>
        <v>27000</v>
      </c>
      <c r="P34" s="6">
        <f t="shared" si="7"/>
        <v>0</v>
      </c>
      <c r="Q34" s="6">
        <f t="shared" si="8"/>
        <v>0</v>
      </c>
      <c r="R34" s="15"/>
      <c r="S34" s="6">
        <f t="shared" si="9"/>
        <v>25126.050420168067</v>
      </c>
      <c r="T34" s="6">
        <f t="shared" si="10"/>
        <v>4773.9495798319331</v>
      </c>
      <c r="U34" s="15">
        <v>29900</v>
      </c>
      <c r="V34" s="6">
        <f t="shared" si="11"/>
        <v>22941.176470588238</v>
      </c>
      <c r="W34" s="6">
        <f t="shared" si="12"/>
        <v>4358.8235294117649</v>
      </c>
      <c r="X34" s="15">
        <v>27300</v>
      </c>
      <c r="Y34" s="6">
        <f t="shared" si="13"/>
        <v>0</v>
      </c>
      <c r="Z34" s="6">
        <f t="shared" si="14"/>
        <v>0</v>
      </c>
      <c r="AA34" s="15"/>
      <c r="AB34" s="6">
        <f t="shared" si="15"/>
        <v>0</v>
      </c>
      <c r="AC34" s="6">
        <f t="shared" si="16"/>
        <v>0</v>
      </c>
      <c r="AD34" s="15"/>
      <c r="AE34" s="6">
        <f t="shared" si="17"/>
        <v>0</v>
      </c>
      <c r="AF34" s="6">
        <f t="shared" si="18"/>
        <v>0</v>
      </c>
      <c r="AG34" s="15"/>
      <c r="AH34" s="6">
        <f t="shared" si="19"/>
        <v>0</v>
      </c>
      <c r="AI34" s="6">
        <f t="shared" si="20"/>
        <v>0</v>
      </c>
      <c r="AJ34" s="15"/>
      <c r="AK34" s="6">
        <f t="shared" si="21"/>
        <v>15126.050420168069</v>
      </c>
      <c r="AL34" s="6">
        <f t="shared" si="22"/>
        <v>2873.9495798319331</v>
      </c>
      <c r="AM34" s="15">
        <v>18000</v>
      </c>
      <c r="AN34" s="6">
        <f t="shared" si="23"/>
        <v>15966.386554621849</v>
      </c>
      <c r="AO34" s="6">
        <f t="shared" si="24"/>
        <v>3033.6134453781515</v>
      </c>
      <c r="AP34" s="15">
        <v>19000</v>
      </c>
      <c r="AQ34" s="6">
        <f t="shared" si="25"/>
        <v>0</v>
      </c>
      <c r="AR34" s="6">
        <f t="shared" si="26"/>
        <v>0</v>
      </c>
      <c r="AS34" s="15"/>
      <c r="AT34" s="6">
        <f t="shared" si="27"/>
        <v>0</v>
      </c>
      <c r="AU34" s="6">
        <f t="shared" si="28"/>
        <v>0</v>
      </c>
      <c r="AV34" s="15"/>
      <c r="AW34" s="54">
        <f t="shared" si="29"/>
        <v>24240</v>
      </c>
      <c r="AX34" s="52">
        <f t="shared" si="30"/>
        <v>24240</v>
      </c>
    </row>
    <row r="35" spans="1:50" ht="30" x14ac:dyDescent="0.25">
      <c r="A35" s="4">
        <v>26</v>
      </c>
      <c r="B35" s="4">
        <v>27112017</v>
      </c>
      <c r="C35" s="4" t="s">
        <v>68</v>
      </c>
      <c r="D35" s="8" t="s">
        <v>107</v>
      </c>
      <c r="E35" s="4" t="s">
        <v>14</v>
      </c>
      <c r="F35" s="4">
        <v>1</v>
      </c>
      <c r="G35" s="7">
        <f t="shared" si="1"/>
        <v>0</v>
      </c>
      <c r="H35" s="7">
        <f t="shared" si="2"/>
        <v>0</v>
      </c>
      <c r="I35" s="15"/>
      <c r="J35" s="6">
        <f t="shared" si="3"/>
        <v>0</v>
      </c>
      <c r="K35" s="6">
        <f t="shared" si="4"/>
        <v>0</v>
      </c>
      <c r="L35" s="15"/>
      <c r="M35" s="6">
        <f t="shared" si="5"/>
        <v>163865.5462184874</v>
      </c>
      <c r="N35" s="6">
        <f t="shared" si="6"/>
        <v>31134.453781512606</v>
      </c>
      <c r="O35" s="15">
        <f>195000</f>
        <v>195000</v>
      </c>
      <c r="P35" s="6">
        <f t="shared" si="7"/>
        <v>0</v>
      </c>
      <c r="Q35" s="6">
        <f t="shared" si="8"/>
        <v>0</v>
      </c>
      <c r="R35" s="15"/>
      <c r="S35" s="6">
        <f t="shared" si="9"/>
        <v>142773.10924369749</v>
      </c>
      <c r="T35" s="6">
        <f t="shared" si="10"/>
        <v>27126.890756302524</v>
      </c>
      <c r="U35" s="15">
        <v>169900</v>
      </c>
      <c r="V35" s="6">
        <f t="shared" si="11"/>
        <v>0</v>
      </c>
      <c r="W35" s="6">
        <f t="shared" si="12"/>
        <v>0</v>
      </c>
      <c r="X35" s="15"/>
      <c r="Y35" s="6">
        <f t="shared" si="13"/>
        <v>0</v>
      </c>
      <c r="Z35" s="6">
        <f t="shared" si="14"/>
        <v>0</v>
      </c>
      <c r="AA35" s="15"/>
      <c r="AB35" s="6">
        <f t="shared" si="15"/>
        <v>0</v>
      </c>
      <c r="AC35" s="6">
        <f t="shared" si="16"/>
        <v>0</v>
      </c>
      <c r="AD35" s="15"/>
      <c r="AE35" s="6">
        <f t="shared" si="17"/>
        <v>0</v>
      </c>
      <c r="AF35" s="6">
        <f t="shared" si="18"/>
        <v>0</v>
      </c>
      <c r="AG35" s="15"/>
      <c r="AH35" s="6">
        <f t="shared" si="19"/>
        <v>0</v>
      </c>
      <c r="AI35" s="6">
        <f t="shared" si="20"/>
        <v>0</v>
      </c>
      <c r="AJ35" s="15"/>
      <c r="AK35" s="6">
        <f t="shared" si="21"/>
        <v>84033.613445378156</v>
      </c>
      <c r="AL35" s="6">
        <f t="shared" si="22"/>
        <v>15966.386554621849</v>
      </c>
      <c r="AM35" s="15">
        <v>100000</v>
      </c>
      <c r="AN35" s="6">
        <f t="shared" si="23"/>
        <v>0</v>
      </c>
      <c r="AO35" s="6">
        <f t="shared" si="24"/>
        <v>0</v>
      </c>
      <c r="AP35" s="15"/>
      <c r="AQ35" s="6">
        <f t="shared" si="25"/>
        <v>0</v>
      </c>
      <c r="AR35" s="6">
        <f t="shared" si="26"/>
        <v>0</v>
      </c>
      <c r="AS35" s="15"/>
      <c r="AT35" s="6">
        <f t="shared" si="27"/>
        <v>0</v>
      </c>
      <c r="AU35" s="6">
        <f t="shared" si="28"/>
        <v>0</v>
      </c>
      <c r="AV35" s="15"/>
      <c r="AW35" s="54">
        <f t="shared" si="29"/>
        <v>154966.66666666666</v>
      </c>
      <c r="AX35" s="52">
        <f t="shared" si="30"/>
        <v>154967</v>
      </c>
    </row>
    <row r="36" spans="1:50" ht="30" x14ac:dyDescent="0.25">
      <c r="A36" s="4">
        <v>27</v>
      </c>
      <c r="B36" s="4">
        <v>27112003</v>
      </c>
      <c r="C36" s="4" t="s">
        <v>69</v>
      </c>
      <c r="D36" s="8" t="s">
        <v>70</v>
      </c>
      <c r="E36" s="4" t="s">
        <v>14</v>
      </c>
      <c r="F36" s="4">
        <v>1</v>
      </c>
      <c r="G36" s="7">
        <f t="shared" si="1"/>
        <v>0</v>
      </c>
      <c r="H36" s="7">
        <f t="shared" si="2"/>
        <v>0</v>
      </c>
      <c r="I36" s="15"/>
      <c r="J36" s="6">
        <f t="shared" si="3"/>
        <v>28600</v>
      </c>
      <c r="K36" s="6">
        <f t="shared" si="4"/>
        <v>5434</v>
      </c>
      <c r="L36" s="15">
        <v>34034</v>
      </c>
      <c r="M36" s="6">
        <f t="shared" si="5"/>
        <v>52100.840336134454</v>
      </c>
      <c r="N36" s="6">
        <f t="shared" si="6"/>
        <v>9899.1596638655465</v>
      </c>
      <c r="O36" s="15">
        <f>62000</f>
        <v>62000</v>
      </c>
      <c r="P36" s="6">
        <f t="shared" si="7"/>
        <v>0</v>
      </c>
      <c r="Q36" s="6">
        <f t="shared" si="8"/>
        <v>0</v>
      </c>
      <c r="R36" s="15"/>
      <c r="S36" s="6">
        <f t="shared" si="9"/>
        <v>25966.386554621851</v>
      </c>
      <c r="T36" s="6">
        <f t="shared" si="10"/>
        <v>4933.6134453781515</v>
      </c>
      <c r="U36" s="15">
        <v>30900</v>
      </c>
      <c r="V36" s="6">
        <f t="shared" si="11"/>
        <v>0</v>
      </c>
      <c r="W36" s="6">
        <f t="shared" si="12"/>
        <v>0</v>
      </c>
      <c r="X36" s="15"/>
      <c r="Y36" s="6">
        <f t="shared" si="13"/>
        <v>0</v>
      </c>
      <c r="Z36" s="6">
        <f t="shared" si="14"/>
        <v>0</v>
      </c>
      <c r="AA36" s="15"/>
      <c r="AB36" s="6">
        <f t="shared" si="15"/>
        <v>0</v>
      </c>
      <c r="AC36" s="6">
        <f t="shared" si="16"/>
        <v>0</v>
      </c>
      <c r="AD36" s="15"/>
      <c r="AE36" s="6">
        <f t="shared" si="17"/>
        <v>0</v>
      </c>
      <c r="AF36" s="6">
        <f t="shared" si="18"/>
        <v>0</v>
      </c>
      <c r="AG36" s="15"/>
      <c r="AH36" s="6">
        <f t="shared" si="19"/>
        <v>0</v>
      </c>
      <c r="AI36" s="6">
        <f t="shared" si="20"/>
        <v>0</v>
      </c>
      <c r="AJ36" s="15"/>
      <c r="AK36" s="6">
        <f t="shared" si="21"/>
        <v>50420.168067226892</v>
      </c>
      <c r="AL36" s="6">
        <f t="shared" si="22"/>
        <v>9579.8319327731097</v>
      </c>
      <c r="AM36" s="15">
        <v>60000</v>
      </c>
      <c r="AN36" s="6">
        <f t="shared" si="23"/>
        <v>10084.033613445379</v>
      </c>
      <c r="AO36" s="6">
        <f t="shared" si="24"/>
        <v>1915.966386554622</v>
      </c>
      <c r="AP36" s="15">
        <v>12000</v>
      </c>
      <c r="AQ36" s="6">
        <f t="shared" si="25"/>
        <v>0</v>
      </c>
      <c r="AR36" s="6">
        <f t="shared" si="26"/>
        <v>0</v>
      </c>
      <c r="AS36" s="15"/>
      <c r="AT36" s="6">
        <f t="shared" si="27"/>
        <v>0</v>
      </c>
      <c r="AU36" s="6">
        <f t="shared" si="28"/>
        <v>0</v>
      </c>
      <c r="AV36" s="15"/>
      <c r="AW36" s="54">
        <f t="shared" si="29"/>
        <v>39786.800000000003</v>
      </c>
      <c r="AX36" s="52">
        <f t="shared" si="30"/>
        <v>39787</v>
      </c>
    </row>
    <row r="37" spans="1:50" ht="30" x14ac:dyDescent="0.25">
      <c r="A37" s="4">
        <v>28</v>
      </c>
      <c r="B37" s="4">
        <v>40142008</v>
      </c>
      <c r="C37" s="4" t="s">
        <v>71</v>
      </c>
      <c r="D37" s="8" t="s">
        <v>72</v>
      </c>
      <c r="E37" s="4" t="s">
        <v>14</v>
      </c>
      <c r="F37" s="4">
        <v>1</v>
      </c>
      <c r="G37" s="7">
        <f t="shared" si="1"/>
        <v>0</v>
      </c>
      <c r="H37" s="7">
        <f t="shared" si="2"/>
        <v>0</v>
      </c>
      <c r="I37" s="15"/>
      <c r="J37" s="6">
        <f t="shared" si="3"/>
        <v>0</v>
      </c>
      <c r="K37" s="6">
        <f t="shared" si="4"/>
        <v>0</v>
      </c>
      <c r="L37" s="15"/>
      <c r="M37" s="6">
        <f t="shared" si="5"/>
        <v>159663.8655462185</v>
      </c>
      <c r="N37" s="6">
        <f t="shared" si="6"/>
        <v>30336.134453781517</v>
      </c>
      <c r="O37" s="15">
        <f>190000</f>
        <v>190000</v>
      </c>
      <c r="P37" s="6">
        <f t="shared" si="7"/>
        <v>0</v>
      </c>
      <c r="Q37" s="6">
        <f t="shared" si="8"/>
        <v>0</v>
      </c>
      <c r="R37" s="15"/>
      <c r="S37" s="6">
        <f t="shared" si="9"/>
        <v>235210.08403361344</v>
      </c>
      <c r="T37" s="6">
        <f t="shared" si="10"/>
        <v>44689.915966386558</v>
      </c>
      <c r="U37" s="15">
        <v>279900</v>
      </c>
      <c r="V37" s="6">
        <f t="shared" si="11"/>
        <v>0</v>
      </c>
      <c r="W37" s="6">
        <f t="shared" si="12"/>
        <v>0</v>
      </c>
      <c r="X37" s="15"/>
      <c r="Y37" s="6">
        <f t="shared" si="13"/>
        <v>0</v>
      </c>
      <c r="Z37" s="6">
        <f t="shared" si="14"/>
        <v>0</v>
      </c>
      <c r="AA37" s="15"/>
      <c r="AB37" s="6">
        <f t="shared" si="15"/>
        <v>0</v>
      </c>
      <c r="AC37" s="6">
        <f t="shared" si="16"/>
        <v>0</v>
      </c>
      <c r="AD37" s="15"/>
      <c r="AE37" s="6">
        <f t="shared" si="17"/>
        <v>0</v>
      </c>
      <c r="AF37" s="6">
        <f t="shared" si="18"/>
        <v>0</v>
      </c>
      <c r="AG37" s="15"/>
      <c r="AH37" s="6">
        <f t="shared" si="19"/>
        <v>0</v>
      </c>
      <c r="AI37" s="6">
        <f t="shared" si="20"/>
        <v>0</v>
      </c>
      <c r="AJ37" s="15"/>
      <c r="AK37" s="6">
        <f t="shared" si="21"/>
        <v>0</v>
      </c>
      <c r="AL37" s="6">
        <f t="shared" si="22"/>
        <v>0</v>
      </c>
      <c r="AM37" s="15"/>
      <c r="AN37" s="6">
        <f t="shared" si="23"/>
        <v>218487.3949579832</v>
      </c>
      <c r="AO37" s="6">
        <f t="shared" si="24"/>
        <v>41512.60504201681</v>
      </c>
      <c r="AP37" s="15">
        <v>260000</v>
      </c>
      <c r="AQ37" s="6">
        <f t="shared" si="25"/>
        <v>0</v>
      </c>
      <c r="AR37" s="6">
        <f t="shared" si="26"/>
        <v>0</v>
      </c>
      <c r="AS37" s="15"/>
      <c r="AT37" s="6">
        <f t="shared" si="27"/>
        <v>0</v>
      </c>
      <c r="AU37" s="6">
        <f t="shared" si="28"/>
        <v>0</v>
      </c>
      <c r="AV37" s="15"/>
      <c r="AW37" s="54">
        <f t="shared" si="29"/>
        <v>243300</v>
      </c>
      <c r="AX37" s="52">
        <f t="shared" si="30"/>
        <v>243300</v>
      </c>
    </row>
    <row r="38" spans="1:50" ht="30" x14ac:dyDescent="0.25">
      <c r="A38" s="4">
        <v>29</v>
      </c>
      <c r="B38" s="55">
        <v>27112027</v>
      </c>
      <c r="C38" s="55" t="s">
        <v>73</v>
      </c>
      <c r="D38" s="8" t="s">
        <v>74</v>
      </c>
      <c r="E38" s="4" t="s">
        <v>14</v>
      </c>
      <c r="F38" s="4">
        <v>1</v>
      </c>
      <c r="G38" s="7">
        <f t="shared" si="1"/>
        <v>0</v>
      </c>
      <c r="H38" s="7">
        <f t="shared" si="2"/>
        <v>0</v>
      </c>
      <c r="I38" s="15"/>
      <c r="J38" s="6">
        <f t="shared" si="3"/>
        <v>54600</v>
      </c>
      <c r="K38" s="6">
        <f t="shared" si="4"/>
        <v>10374</v>
      </c>
      <c r="L38" s="15">
        <v>64974</v>
      </c>
      <c r="M38" s="6">
        <f t="shared" si="5"/>
        <v>39495.798319327732</v>
      </c>
      <c r="N38" s="6">
        <f t="shared" si="6"/>
        <v>7504.2016806722695</v>
      </c>
      <c r="O38" s="15">
        <f>47000</f>
        <v>47000</v>
      </c>
      <c r="P38" s="6">
        <f t="shared" si="7"/>
        <v>0</v>
      </c>
      <c r="Q38" s="6">
        <f t="shared" si="8"/>
        <v>0</v>
      </c>
      <c r="R38" s="15"/>
      <c r="S38" s="6">
        <f t="shared" si="9"/>
        <v>46134.45378151261</v>
      </c>
      <c r="T38" s="6">
        <f t="shared" si="10"/>
        <v>8765.5462184873959</v>
      </c>
      <c r="U38" s="15">
        <v>54900</v>
      </c>
      <c r="V38" s="6">
        <f t="shared" si="11"/>
        <v>26382.352941176472</v>
      </c>
      <c r="W38" s="6">
        <f t="shared" si="12"/>
        <v>5012.6470588235297</v>
      </c>
      <c r="X38" s="15">
        <v>31395</v>
      </c>
      <c r="Y38" s="6">
        <f t="shared" si="13"/>
        <v>0</v>
      </c>
      <c r="Z38" s="6">
        <f t="shared" si="14"/>
        <v>0</v>
      </c>
      <c r="AA38" s="15"/>
      <c r="AB38" s="6">
        <f t="shared" si="15"/>
        <v>0</v>
      </c>
      <c r="AC38" s="6">
        <f t="shared" si="16"/>
        <v>0</v>
      </c>
      <c r="AD38" s="15"/>
      <c r="AE38" s="6">
        <f t="shared" si="17"/>
        <v>0</v>
      </c>
      <c r="AF38" s="6">
        <f t="shared" si="18"/>
        <v>0</v>
      </c>
      <c r="AG38" s="15"/>
      <c r="AH38" s="6">
        <f t="shared" si="19"/>
        <v>0</v>
      </c>
      <c r="AI38" s="6">
        <f t="shared" si="20"/>
        <v>0</v>
      </c>
      <c r="AJ38" s="15"/>
      <c r="AK38" s="6">
        <f t="shared" si="21"/>
        <v>48739.495798319331</v>
      </c>
      <c r="AL38" s="6">
        <f t="shared" si="22"/>
        <v>9260.5042016806728</v>
      </c>
      <c r="AM38" s="15">
        <v>58000</v>
      </c>
      <c r="AN38" s="6">
        <f t="shared" si="23"/>
        <v>0</v>
      </c>
      <c r="AO38" s="6">
        <f t="shared" si="24"/>
        <v>0</v>
      </c>
      <c r="AP38" s="15"/>
      <c r="AQ38" s="6">
        <f t="shared" si="25"/>
        <v>0</v>
      </c>
      <c r="AR38" s="6">
        <f t="shared" si="26"/>
        <v>0</v>
      </c>
      <c r="AS38" s="15"/>
      <c r="AT38" s="6">
        <f t="shared" si="27"/>
        <v>0</v>
      </c>
      <c r="AU38" s="6">
        <f t="shared" si="28"/>
        <v>0</v>
      </c>
      <c r="AV38" s="15"/>
      <c r="AW38" s="54">
        <f t="shared" si="29"/>
        <v>51253.8</v>
      </c>
      <c r="AX38" s="52">
        <f t="shared" si="30"/>
        <v>51254</v>
      </c>
    </row>
    <row r="39" spans="1:50" ht="30" x14ac:dyDescent="0.25">
      <c r="A39" s="4">
        <v>30</v>
      </c>
      <c r="B39" s="55"/>
      <c r="C39" s="55"/>
      <c r="D39" s="8" t="s">
        <v>75</v>
      </c>
      <c r="E39" s="4" t="s">
        <v>14</v>
      </c>
      <c r="F39" s="4">
        <v>1</v>
      </c>
      <c r="G39" s="7">
        <f t="shared" si="1"/>
        <v>0</v>
      </c>
      <c r="H39" s="7">
        <f t="shared" si="2"/>
        <v>0</v>
      </c>
      <c r="I39" s="15"/>
      <c r="J39" s="6">
        <f t="shared" si="3"/>
        <v>0</v>
      </c>
      <c r="K39" s="6">
        <f t="shared" si="4"/>
        <v>0</v>
      </c>
      <c r="L39" s="15"/>
      <c r="M39" s="6">
        <f t="shared" si="5"/>
        <v>26890.756302521011</v>
      </c>
      <c r="N39" s="6">
        <f t="shared" si="6"/>
        <v>5109.2436974789925</v>
      </c>
      <c r="O39" s="15">
        <f>32000</f>
        <v>32000</v>
      </c>
      <c r="P39" s="6">
        <f t="shared" si="7"/>
        <v>0</v>
      </c>
      <c r="Q39" s="6">
        <f t="shared" si="8"/>
        <v>0</v>
      </c>
      <c r="R39" s="15"/>
      <c r="S39" s="6">
        <f t="shared" si="9"/>
        <v>22605.042016806725</v>
      </c>
      <c r="T39" s="6">
        <f t="shared" si="10"/>
        <v>4294.9579831932779</v>
      </c>
      <c r="U39" s="15">
        <v>26900</v>
      </c>
      <c r="V39" s="6">
        <f t="shared" si="11"/>
        <v>17117.647058823532</v>
      </c>
      <c r="W39" s="6">
        <f t="shared" si="12"/>
        <v>3252.3529411764712</v>
      </c>
      <c r="X39" s="15">
        <v>20370</v>
      </c>
      <c r="Y39" s="6">
        <f t="shared" si="13"/>
        <v>0</v>
      </c>
      <c r="Z39" s="6">
        <f t="shared" si="14"/>
        <v>0</v>
      </c>
      <c r="AA39" s="15"/>
      <c r="AB39" s="6">
        <f t="shared" si="15"/>
        <v>0</v>
      </c>
      <c r="AC39" s="6">
        <f t="shared" si="16"/>
        <v>0</v>
      </c>
      <c r="AD39" s="15"/>
      <c r="AE39" s="6">
        <f t="shared" si="17"/>
        <v>0</v>
      </c>
      <c r="AF39" s="6">
        <f t="shared" si="18"/>
        <v>0</v>
      </c>
      <c r="AG39" s="15"/>
      <c r="AH39" s="6">
        <f t="shared" si="19"/>
        <v>0</v>
      </c>
      <c r="AI39" s="6">
        <f t="shared" si="20"/>
        <v>0</v>
      </c>
      <c r="AJ39" s="15"/>
      <c r="AK39" s="6">
        <f t="shared" si="21"/>
        <v>31932.773109243699</v>
      </c>
      <c r="AL39" s="6">
        <f t="shared" si="22"/>
        <v>6067.226890756303</v>
      </c>
      <c r="AM39" s="15">
        <v>38000</v>
      </c>
      <c r="AN39" s="6">
        <f t="shared" si="23"/>
        <v>0</v>
      </c>
      <c r="AO39" s="6">
        <f t="shared" si="24"/>
        <v>0</v>
      </c>
      <c r="AP39" s="15"/>
      <c r="AQ39" s="6">
        <f t="shared" si="25"/>
        <v>0</v>
      </c>
      <c r="AR39" s="6">
        <f t="shared" si="26"/>
        <v>0</v>
      </c>
      <c r="AS39" s="15"/>
      <c r="AT39" s="6">
        <f t="shared" si="27"/>
        <v>0</v>
      </c>
      <c r="AU39" s="6">
        <f t="shared" si="28"/>
        <v>0</v>
      </c>
      <c r="AV39" s="15"/>
      <c r="AW39" s="54">
        <f t="shared" si="29"/>
        <v>29317.5</v>
      </c>
      <c r="AX39" s="52">
        <f t="shared" si="30"/>
        <v>29318</v>
      </c>
    </row>
    <row r="40" spans="1:50" x14ac:dyDescent="0.25">
      <c r="A40" s="4">
        <v>32</v>
      </c>
      <c r="B40" s="4">
        <v>13111010</v>
      </c>
      <c r="C40" s="4" t="s">
        <v>76</v>
      </c>
      <c r="D40" s="9" t="s">
        <v>77</v>
      </c>
      <c r="E40" s="4" t="s">
        <v>14</v>
      </c>
      <c r="F40" s="4">
        <v>1</v>
      </c>
      <c r="G40" s="7">
        <f t="shared" si="1"/>
        <v>0</v>
      </c>
      <c r="H40" s="7">
        <f t="shared" si="2"/>
        <v>0</v>
      </c>
      <c r="I40" s="15"/>
      <c r="J40" s="6">
        <f t="shared" si="3"/>
        <v>0</v>
      </c>
      <c r="K40" s="6">
        <f t="shared" si="4"/>
        <v>0</v>
      </c>
      <c r="L40" s="15"/>
      <c r="M40" s="6">
        <f t="shared" si="5"/>
        <v>14285.714285714286</v>
      </c>
      <c r="N40" s="6">
        <f t="shared" si="6"/>
        <v>2714.2857142857142</v>
      </c>
      <c r="O40" s="15">
        <f>17000</f>
        <v>17000</v>
      </c>
      <c r="P40" s="6">
        <f t="shared" si="7"/>
        <v>0</v>
      </c>
      <c r="Q40" s="6">
        <f t="shared" si="8"/>
        <v>0</v>
      </c>
      <c r="R40" s="15"/>
      <c r="S40" s="6">
        <f t="shared" si="9"/>
        <v>7478.9915966386561</v>
      </c>
      <c r="T40" s="6">
        <f t="shared" si="10"/>
        <v>1421.0084033613448</v>
      </c>
      <c r="U40" s="15">
        <v>8900</v>
      </c>
      <c r="V40" s="6">
        <f t="shared" si="11"/>
        <v>0</v>
      </c>
      <c r="W40" s="6">
        <f t="shared" si="12"/>
        <v>0</v>
      </c>
      <c r="X40" s="15"/>
      <c r="Y40" s="6">
        <f t="shared" si="13"/>
        <v>0</v>
      </c>
      <c r="Z40" s="6">
        <f t="shared" si="14"/>
        <v>0</v>
      </c>
      <c r="AA40" s="15"/>
      <c r="AB40" s="6">
        <f t="shared" si="15"/>
        <v>0</v>
      </c>
      <c r="AC40" s="6">
        <f t="shared" si="16"/>
        <v>0</v>
      </c>
      <c r="AD40" s="15"/>
      <c r="AE40" s="6">
        <f t="shared" si="17"/>
        <v>0</v>
      </c>
      <c r="AF40" s="6">
        <f t="shared" si="18"/>
        <v>0</v>
      </c>
      <c r="AG40" s="15"/>
      <c r="AH40" s="6">
        <f t="shared" si="19"/>
        <v>6722.6890756302528</v>
      </c>
      <c r="AI40" s="6">
        <f t="shared" si="20"/>
        <v>1277.3109243697481</v>
      </c>
      <c r="AJ40" s="15">
        <v>8000</v>
      </c>
      <c r="AK40" s="6">
        <f t="shared" si="21"/>
        <v>0</v>
      </c>
      <c r="AL40" s="6">
        <f t="shared" si="22"/>
        <v>0</v>
      </c>
      <c r="AM40" s="15"/>
      <c r="AN40" s="6">
        <f t="shared" si="23"/>
        <v>0</v>
      </c>
      <c r="AO40" s="6">
        <f t="shared" si="24"/>
        <v>0</v>
      </c>
      <c r="AP40" s="15"/>
      <c r="AQ40" s="6">
        <f t="shared" si="25"/>
        <v>0</v>
      </c>
      <c r="AR40" s="6">
        <f t="shared" si="26"/>
        <v>0</v>
      </c>
      <c r="AS40" s="15"/>
      <c r="AT40" s="6">
        <f t="shared" si="27"/>
        <v>0</v>
      </c>
      <c r="AU40" s="6">
        <f t="shared" si="28"/>
        <v>0</v>
      </c>
      <c r="AV40" s="15"/>
      <c r="AW40" s="54">
        <f t="shared" si="29"/>
        <v>11300</v>
      </c>
      <c r="AX40" s="52">
        <f t="shared" si="30"/>
        <v>11300</v>
      </c>
    </row>
    <row r="41" spans="1:50" ht="30" x14ac:dyDescent="0.25">
      <c r="A41" s="4">
        <v>33</v>
      </c>
      <c r="B41" s="4">
        <v>31151503</v>
      </c>
      <c r="C41" s="4" t="s">
        <v>78</v>
      </c>
      <c r="D41" s="8" t="s">
        <v>79</v>
      </c>
      <c r="E41" s="4" t="s">
        <v>14</v>
      </c>
      <c r="F41" s="4">
        <v>1</v>
      </c>
      <c r="G41" s="7">
        <f t="shared" si="1"/>
        <v>0</v>
      </c>
      <c r="H41" s="7">
        <f t="shared" si="2"/>
        <v>0</v>
      </c>
      <c r="I41" s="15"/>
      <c r="J41" s="6">
        <f t="shared" si="3"/>
        <v>0</v>
      </c>
      <c r="K41" s="6">
        <f t="shared" si="4"/>
        <v>0</v>
      </c>
      <c r="L41" s="15"/>
      <c r="M41" s="6">
        <f t="shared" si="5"/>
        <v>47899.159663865546</v>
      </c>
      <c r="N41" s="6">
        <f t="shared" si="6"/>
        <v>9100.8403361344535</v>
      </c>
      <c r="O41" s="15">
        <f>57000</f>
        <v>57000</v>
      </c>
      <c r="P41" s="6">
        <f t="shared" si="7"/>
        <v>0</v>
      </c>
      <c r="Q41" s="6">
        <f t="shared" si="8"/>
        <v>0</v>
      </c>
      <c r="R41" s="15"/>
      <c r="S41" s="6">
        <f t="shared" si="9"/>
        <v>0</v>
      </c>
      <c r="T41" s="6">
        <f t="shared" si="10"/>
        <v>0</v>
      </c>
      <c r="U41" s="15">
        <v>0</v>
      </c>
      <c r="V41" s="6">
        <f t="shared" si="11"/>
        <v>0</v>
      </c>
      <c r="W41" s="6">
        <f t="shared" si="12"/>
        <v>0</v>
      </c>
      <c r="X41" s="15"/>
      <c r="Y41" s="6">
        <f t="shared" si="13"/>
        <v>0</v>
      </c>
      <c r="Z41" s="6">
        <f t="shared" si="14"/>
        <v>0</v>
      </c>
      <c r="AA41" s="15"/>
      <c r="AB41" s="6">
        <f t="shared" si="15"/>
        <v>0</v>
      </c>
      <c r="AC41" s="6">
        <f t="shared" si="16"/>
        <v>0</v>
      </c>
      <c r="AD41" s="15"/>
      <c r="AE41" s="6">
        <f t="shared" si="17"/>
        <v>0</v>
      </c>
      <c r="AF41" s="6">
        <f t="shared" si="18"/>
        <v>0</v>
      </c>
      <c r="AG41" s="15"/>
      <c r="AH41" s="6">
        <f t="shared" si="19"/>
        <v>10924.36974789916</v>
      </c>
      <c r="AI41" s="6">
        <f t="shared" si="20"/>
        <v>2075.6302521008406</v>
      </c>
      <c r="AJ41" s="15">
        <v>13000</v>
      </c>
      <c r="AK41" s="6">
        <f t="shared" si="21"/>
        <v>19327.731092436974</v>
      </c>
      <c r="AL41" s="6">
        <f t="shared" si="22"/>
        <v>3672.2689075630251</v>
      </c>
      <c r="AM41" s="15">
        <v>23000</v>
      </c>
      <c r="AN41" s="6">
        <f t="shared" si="23"/>
        <v>0</v>
      </c>
      <c r="AO41" s="6">
        <f t="shared" si="24"/>
        <v>0</v>
      </c>
      <c r="AP41" s="15"/>
      <c r="AQ41" s="6">
        <f t="shared" si="25"/>
        <v>0</v>
      </c>
      <c r="AR41" s="6">
        <f t="shared" si="26"/>
        <v>0</v>
      </c>
      <c r="AS41" s="15"/>
      <c r="AT41" s="6">
        <f t="shared" si="27"/>
        <v>0</v>
      </c>
      <c r="AU41" s="6">
        <f t="shared" si="28"/>
        <v>0</v>
      </c>
      <c r="AV41" s="15"/>
      <c r="AW41" s="54">
        <f t="shared" si="29"/>
        <v>23250</v>
      </c>
      <c r="AX41" s="52">
        <f t="shared" si="30"/>
        <v>23250</v>
      </c>
    </row>
    <row r="42" spans="1:50" ht="30" x14ac:dyDescent="0.25">
      <c r="A42" s="4">
        <v>34</v>
      </c>
      <c r="B42" s="4">
        <v>31151508</v>
      </c>
      <c r="C42" s="4" t="s">
        <v>80</v>
      </c>
      <c r="D42" s="8" t="s">
        <v>81</v>
      </c>
      <c r="E42" s="4" t="s">
        <v>14</v>
      </c>
      <c r="F42" s="4">
        <v>1</v>
      </c>
      <c r="G42" s="7">
        <f t="shared" si="1"/>
        <v>0</v>
      </c>
      <c r="H42" s="7">
        <f t="shared" si="2"/>
        <v>0</v>
      </c>
      <c r="I42" s="15"/>
      <c r="J42" s="6">
        <f t="shared" si="3"/>
        <v>0</v>
      </c>
      <c r="K42" s="6">
        <f t="shared" si="4"/>
        <v>0</v>
      </c>
      <c r="L42" s="15"/>
      <c r="M42" s="6">
        <f t="shared" si="5"/>
        <v>23529.411764705885</v>
      </c>
      <c r="N42" s="6">
        <f t="shared" si="6"/>
        <v>4470.588235294118</v>
      </c>
      <c r="O42" s="15">
        <f>28000</f>
        <v>28000</v>
      </c>
      <c r="P42" s="6">
        <f t="shared" si="7"/>
        <v>0</v>
      </c>
      <c r="Q42" s="6">
        <f t="shared" si="8"/>
        <v>0</v>
      </c>
      <c r="R42" s="15"/>
      <c r="S42" s="6">
        <f t="shared" si="9"/>
        <v>0</v>
      </c>
      <c r="T42" s="6">
        <f t="shared" si="10"/>
        <v>0</v>
      </c>
      <c r="U42" s="15">
        <v>0</v>
      </c>
      <c r="V42" s="6">
        <f t="shared" si="11"/>
        <v>0</v>
      </c>
      <c r="W42" s="6">
        <f t="shared" si="12"/>
        <v>0</v>
      </c>
      <c r="X42" s="15"/>
      <c r="Y42" s="6">
        <f t="shared" si="13"/>
        <v>0</v>
      </c>
      <c r="Z42" s="6">
        <f t="shared" si="14"/>
        <v>0</v>
      </c>
      <c r="AA42" s="15"/>
      <c r="AB42" s="6">
        <f t="shared" si="15"/>
        <v>0</v>
      </c>
      <c r="AC42" s="6">
        <f t="shared" si="16"/>
        <v>0</v>
      </c>
      <c r="AD42" s="15"/>
      <c r="AE42" s="6">
        <f t="shared" si="17"/>
        <v>0</v>
      </c>
      <c r="AF42" s="6">
        <f t="shared" si="18"/>
        <v>0</v>
      </c>
      <c r="AG42" s="15"/>
      <c r="AH42" s="6">
        <f t="shared" si="19"/>
        <v>6722.6890756302528</v>
      </c>
      <c r="AI42" s="6">
        <f t="shared" si="20"/>
        <v>1277.3109243697481</v>
      </c>
      <c r="AJ42" s="15">
        <v>8000</v>
      </c>
      <c r="AK42" s="6">
        <f t="shared" si="21"/>
        <v>8823.5294117647063</v>
      </c>
      <c r="AL42" s="6">
        <f t="shared" si="22"/>
        <v>1676.4705882352941</v>
      </c>
      <c r="AM42" s="15">
        <v>10500</v>
      </c>
      <c r="AN42" s="6">
        <f t="shared" si="23"/>
        <v>0</v>
      </c>
      <c r="AO42" s="6">
        <f t="shared" si="24"/>
        <v>0</v>
      </c>
      <c r="AP42" s="15"/>
      <c r="AQ42" s="6">
        <f t="shared" si="25"/>
        <v>0</v>
      </c>
      <c r="AR42" s="6">
        <f t="shared" si="26"/>
        <v>0</v>
      </c>
      <c r="AS42" s="15"/>
      <c r="AT42" s="6">
        <f t="shared" si="27"/>
        <v>0</v>
      </c>
      <c r="AU42" s="6">
        <f t="shared" si="28"/>
        <v>0</v>
      </c>
      <c r="AV42" s="15"/>
      <c r="AW42" s="54">
        <f t="shared" si="29"/>
        <v>11625</v>
      </c>
      <c r="AX42" s="52">
        <f t="shared" si="30"/>
        <v>11625</v>
      </c>
    </row>
    <row r="43" spans="1:50" ht="45" x14ac:dyDescent="0.25">
      <c r="A43" s="4">
        <v>35</v>
      </c>
      <c r="B43" s="4">
        <v>31211906</v>
      </c>
      <c r="C43" s="4" t="s">
        <v>82</v>
      </c>
      <c r="D43" s="4" t="s">
        <v>83</v>
      </c>
      <c r="E43" s="4" t="s">
        <v>14</v>
      </c>
      <c r="F43" s="4">
        <v>1</v>
      </c>
      <c r="G43" s="7">
        <f t="shared" si="1"/>
        <v>0</v>
      </c>
      <c r="H43" s="7">
        <f t="shared" si="2"/>
        <v>0</v>
      </c>
      <c r="I43" s="15"/>
      <c r="J43" s="6">
        <f t="shared" si="3"/>
        <v>0</v>
      </c>
      <c r="K43" s="6">
        <f t="shared" si="4"/>
        <v>0</v>
      </c>
      <c r="L43" s="15"/>
      <c r="M43" s="6">
        <f t="shared" si="5"/>
        <v>16386.55462184874</v>
      </c>
      <c r="N43" s="6">
        <f t="shared" si="6"/>
        <v>3113.4453781512607</v>
      </c>
      <c r="O43" s="15">
        <f>19500</f>
        <v>19500</v>
      </c>
      <c r="P43" s="6">
        <f t="shared" si="7"/>
        <v>0</v>
      </c>
      <c r="Q43" s="6">
        <f t="shared" si="8"/>
        <v>0</v>
      </c>
      <c r="R43" s="15"/>
      <c r="S43" s="6">
        <f t="shared" si="9"/>
        <v>8319.3277310924368</v>
      </c>
      <c r="T43" s="6">
        <f t="shared" si="10"/>
        <v>1580.672268907563</v>
      </c>
      <c r="U43" s="15">
        <v>9900</v>
      </c>
      <c r="V43" s="6">
        <f t="shared" si="11"/>
        <v>0</v>
      </c>
      <c r="W43" s="6">
        <f t="shared" si="12"/>
        <v>0</v>
      </c>
      <c r="X43" s="15"/>
      <c r="Y43" s="6">
        <f t="shared" si="13"/>
        <v>0</v>
      </c>
      <c r="Z43" s="6">
        <f t="shared" si="14"/>
        <v>0</v>
      </c>
      <c r="AA43" s="15"/>
      <c r="AB43" s="6">
        <f t="shared" si="15"/>
        <v>0</v>
      </c>
      <c r="AC43" s="6">
        <f t="shared" si="16"/>
        <v>0</v>
      </c>
      <c r="AD43" s="15"/>
      <c r="AE43" s="6">
        <f t="shared" si="17"/>
        <v>0</v>
      </c>
      <c r="AF43" s="6">
        <f t="shared" si="18"/>
        <v>0</v>
      </c>
      <c r="AG43" s="15"/>
      <c r="AH43" s="6">
        <f t="shared" si="19"/>
        <v>0</v>
      </c>
      <c r="AI43" s="6">
        <f t="shared" si="20"/>
        <v>0</v>
      </c>
      <c r="AJ43" s="15"/>
      <c r="AK43" s="6">
        <f t="shared" si="21"/>
        <v>10084.033613445379</v>
      </c>
      <c r="AL43" s="6">
        <f t="shared" si="22"/>
        <v>1915.966386554622</v>
      </c>
      <c r="AM43" s="15">
        <v>12000</v>
      </c>
      <c r="AN43" s="6">
        <f t="shared" si="23"/>
        <v>0</v>
      </c>
      <c r="AO43" s="6">
        <f t="shared" si="24"/>
        <v>0</v>
      </c>
      <c r="AP43" s="15"/>
      <c r="AQ43" s="6">
        <f t="shared" si="25"/>
        <v>10840.336134453783</v>
      </c>
      <c r="AR43" s="6">
        <f t="shared" si="26"/>
        <v>2059.6638655462189</v>
      </c>
      <c r="AS43" s="15">
        <v>12900</v>
      </c>
      <c r="AT43" s="6">
        <f t="shared" si="27"/>
        <v>0</v>
      </c>
      <c r="AU43" s="6">
        <f t="shared" si="28"/>
        <v>0</v>
      </c>
      <c r="AV43" s="15"/>
      <c r="AW43" s="54">
        <f t="shared" si="29"/>
        <v>13575</v>
      </c>
      <c r="AX43" s="52">
        <f t="shared" si="30"/>
        <v>13575</v>
      </c>
    </row>
    <row r="44" spans="1:50" ht="45" x14ac:dyDescent="0.25">
      <c r="A44" s="4">
        <v>36</v>
      </c>
      <c r="B44" s="4">
        <v>31211500</v>
      </c>
      <c r="C44" s="4" t="s">
        <v>84</v>
      </c>
      <c r="D44" s="8" t="s">
        <v>98</v>
      </c>
      <c r="E44" s="4" t="s">
        <v>14</v>
      </c>
      <c r="F44" s="4">
        <v>1</v>
      </c>
      <c r="G44" s="7">
        <f t="shared" si="1"/>
        <v>0</v>
      </c>
      <c r="H44" s="7">
        <f t="shared" si="2"/>
        <v>0</v>
      </c>
      <c r="I44" s="15"/>
      <c r="J44" s="6">
        <f t="shared" si="3"/>
        <v>0</v>
      </c>
      <c r="K44" s="6">
        <f t="shared" si="4"/>
        <v>0</v>
      </c>
      <c r="L44" s="15"/>
      <c r="M44" s="6">
        <f t="shared" si="5"/>
        <v>102521.00840336135</v>
      </c>
      <c r="N44" s="6">
        <f t="shared" si="6"/>
        <v>19478.991596638658</v>
      </c>
      <c r="O44" s="15">
        <f>122000</f>
        <v>122000</v>
      </c>
      <c r="P44" s="6">
        <f t="shared" si="7"/>
        <v>0</v>
      </c>
      <c r="Q44" s="6">
        <f t="shared" si="8"/>
        <v>0</v>
      </c>
      <c r="R44" s="15"/>
      <c r="S44" s="6">
        <f t="shared" si="9"/>
        <v>81428.571428571435</v>
      </c>
      <c r="T44" s="6">
        <f t="shared" si="10"/>
        <v>15471.428571428572</v>
      </c>
      <c r="U44" s="15">
        <v>96900</v>
      </c>
      <c r="V44" s="6">
        <f t="shared" si="11"/>
        <v>0</v>
      </c>
      <c r="W44" s="6">
        <f t="shared" si="12"/>
        <v>0</v>
      </c>
      <c r="X44" s="15"/>
      <c r="Y44" s="6">
        <f t="shared" si="13"/>
        <v>0</v>
      </c>
      <c r="Z44" s="6">
        <f t="shared" si="14"/>
        <v>0</v>
      </c>
      <c r="AA44" s="15"/>
      <c r="AB44" s="6">
        <f t="shared" si="15"/>
        <v>0</v>
      </c>
      <c r="AC44" s="6">
        <f t="shared" si="16"/>
        <v>0</v>
      </c>
      <c r="AD44" s="15"/>
      <c r="AE44" s="6">
        <f t="shared" si="17"/>
        <v>0</v>
      </c>
      <c r="AF44" s="6">
        <f t="shared" si="18"/>
        <v>0</v>
      </c>
      <c r="AG44" s="15"/>
      <c r="AH44" s="6">
        <f t="shared" si="19"/>
        <v>0</v>
      </c>
      <c r="AI44" s="6">
        <f t="shared" si="20"/>
        <v>0</v>
      </c>
      <c r="AJ44" s="15"/>
      <c r="AK44" s="6">
        <f t="shared" si="21"/>
        <v>0</v>
      </c>
      <c r="AL44" s="6">
        <f t="shared" si="22"/>
        <v>0</v>
      </c>
      <c r="AM44" s="15"/>
      <c r="AN44" s="6">
        <f t="shared" si="23"/>
        <v>0</v>
      </c>
      <c r="AO44" s="6">
        <f t="shared" si="24"/>
        <v>0</v>
      </c>
      <c r="AP44" s="15"/>
      <c r="AQ44" s="6">
        <f t="shared" si="25"/>
        <v>83193.277310924372</v>
      </c>
      <c r="AR44" s="6">
        <f t="shared" si="26"/>
        <v>15806.72268907563</v>
      </c>
      <c r="AS44" s="15">
        <v>99000</v>
      </c>
      <c r="AT44" s="6">
        <f t="shared" si="27"/>
        <v>0</v>
      </c>
      <c r="AU44" s="6">
        <f t="shared" si="28"/>
        <v>0</v>
      </c>
      <c r="AV44" s="15"/>
      <c r="AW44" s="54">
        <f t="shared" si="29"/>
        <v>105966.66666666667</v>
      </c>
      <c r="AX44" s="52">
        <f t="shared" si="30"/>
        <v>105967</v>
      </c>
    </row>
    <row r="45" spans="1:50" customFormat="1" ht="15.75" thickBot="1" x14ac:dyDescent="0.3"/>
    <row r="46" spans="1:50" ht="15.75" thickBot="1" x14ac:dyDescent="0.3">
      <c r="A46" s="74" t="s">
        <v>97</v>
      </c>
      <c r="B46" s="75"/>
      <c r="C46" s="75"/>
      <c r="D46" s="75"/>
      <c r="E46" s="75"/>
      <c r="F46" s="75"/>
      <c r="G46" s="75"/>
      <c r="H46" s="75"/>
      <c r="I46" s="75"/>
      <c r="J46" s="75"/>
      <c r="K46" s="75"/>
      <c r="L46" s="75"/>
      <c r="M46" s="75"/>
      <c r="N46" s="75"/>
      <c r="O46" s="75"/>
      <c r="P46" s="76"/>
      <c r="AX46"/>
    </row>
    <row r="47" spans="1:50" ht="15.75" x14ac:dyDescent="0.25">
      <c r="A47" s="81" t="s">
        <v>1</v>
      </c>
      <c r="B47" s="81" t="s">
        <v>2</v>
      </c>
      <c r="C47" s="81" t="s">
        <v>3</v>
      </c>
      <c r="D47" s="81" t="s">
        <v>4</v>
      </c>
      <c r="E47" s="81" t="s">
        <v>5</v>
      </c>
      <c r="F47" s="81" t="s">
        <v>6</v>
      </c>
      <c r="G47" s="82" t="s">
        <v>85</v>
      </c>
      <c r="H47" s="83"/>
      <c r="I47" s="84"/>
      <c r="J47" s="85" t="s">
        <v>86</v>
      </c>
      <c r="K47" s="83"/>
      <c r="L47" s="86"/>
      <c r="M47" s="82" t="s">
        <v>87</v>
      </c>
      <c r="N47" s="83"/>
      <c r="O47" s="84"/>
      <c r="P47" s="85" t="s">
        <v>10</v>
      </c>
      <c r="AW47" s="21"/>
      <c r="AX47"/>
    </row>
    <row r="48" spans="1:50" ht="35.25" customHeight="1" x14ac:dyDescent="0.25">
      <c r="A48" s="73"/>
      <c r="B48" s="73"/>
      <c r="C48" s="73"/>
      <c r="D48" s="73"/>
      <c r="E48" s="73"/>
      <c r="F48" s="73"/>
      <c r="G48" s="31" t="s">
        <v>93</v>
      </c>
      <c r="H48" s="2" t="s">
        <v>94</v>
      </c>
      <c r="I48" s="32" t="s">
        <v>95</v>
      </c>
      <c r="J48" s="10" t="s">
        <v>93</v>
      </c>
      <c r="K48" s="2" t="s">
        <v>94</v>
      </c>
      <c r="L48" s="14" t="s">
        <v>95</v>
      </c>
      <c r="M48" s="31" t="s">
        <v>93</v>
      </c>
      <c r="N48" s="2" t="s">
        <v>94</v>
      </c>
      <c r="O48" s="32" t="s">
        <v>95</v>
      </c>
      <c r="P48" s="87"/>
      <c r="AW48" s="21"/>
      <c r="AX48" s="22"/>
    </row>
    <row r="49" spans="1:17" ht="216.75" customHeight="1" thickBot="1" x14ac:dyDescent="0.3">
      <c r="A49" s="1">
        <v>37</v>
      </c>
      <c r="B49" s="40">
        <v>95131702</v>
      </c>
      <c r="C49" s="39" t="s">
        <v>102</v>
      </c>
      <c r="D49" s="28" t="s">
        <v>104</v>
      </c>
      <c r="E49" s="24" t="s">
        <v>14</v>
      </c>
      <c r="F49" s="24">
        <v>1</v>
      </c>
      <c r="G49" s="33">
        <f>I49/1.19</f>
        <v>2478991.5966386558</v>
      </c>
      <c r="H49" s="34">
        <f>G49*0.19</f>
        <v>471008.40336134459</v>
      </c>
      <c r="I49" s="35">
        <v>2950000</v>
      </c>
      <c r="J49" s="30">
        <f>L49/1.19</f>
        <v>2000000</v>
      </c>
      <c r="K49" s="29">
        <f>J49*0.19</f>
        <v>380000</v>
      </c>
      <c r="L49" s="36">
        <v>2380000</v>
      </c>
      <c r="M49" s="37">
        <v>2030000</v>
      </c>
      <c r="N49" s="38">
        <f>M49*0.19</f>
        <v>385700</v>
      </c>
      <c r="O49" s="35">
        <f>M49+N49</f>
        <v>2415700</v>
      </c>
      <c r="P49" s="46">
        <f>AVERAGE(I49,L49,O49)</f>
        <v>2581900</v>
      </c>
    </row>
    <row r="50" spans="1:17" ht="216.75" customHeight="1" thickBot="1" x14ac:dyDescent="0.3">
      <c r="A50" s="1">
        <v>38</v>
      </c>
      <c r="B50" s="40">
        <v>95131702</v>
      </c>
      <c r="C50" s="39" t="s">
        <v>102</v>
      </c>
      <c r="D50" s="44" t="s">
        <v>103</v>
      </c>
      <c r="E50" s="45" t="s">
        <v>14</v>
      </c>
      <c r="F50" s="45">
        <v>1</v>
      </c>
      <c r="G50" s="33">
        <f>I50/1.19</f>
        <v>1966386.5546218487</v>
      </c>
      <c r="H50" s="34">
        <f>G50*0.19</f>
        <v>373613.44537815126</v>
      </c>
      <c r="I50" s="48">
        <v>2340000</v>
      </c>
      <c r="J50" s="42">
        <v>1480000</v>
      </c>
      <c r="K50" s="43">
        <f>J50*0.19</f>
        <v>281200</v>
      </c>
      <c r="L50" s="41">
        <f>J50+K50</f>
        <v>1761200</v>
      </c>
      <c r="M50" s="49">
        <v>1780000</v>
      </c>
      <c r="N50" s="50">
        <f>M50*0.19</f>
        <v>338200</v>
      </c>
      <c r="O50" s="51">
        <f>M50+N50</f>
        <v>2118200</v>
      </c>
      <c r="P50" s="47">
        <f>AVERAGE(I50,L50,O50)</f>
        <v>2073133.3333333333</v>
      </c>
      <c r="Q50" s="53">
        <f>ROUNDDOWN(P50,0)</f>
        <v>2073133</v>
      </c>
    </row>
    <row r="51" spans="1:17" ht="15.75" thickBot="1" x14ac:dyDescent="0.3">
      <c r="A51" s="74" t="s">
        <v>15</v>
      </c>
      <c r="B51" s="75"/>
      <c r="C51" s="75"/>
      <c r="D51" s="75"/>
      <c r="E51" s="75"/>
      <c r="F51" s="75"/>
      <c r="G51" s="75"/>
      <c r="H51" s="75"/>
      <c r="I51" s="75"/>
      <c r="J51" s="75"/>
      <c r="K51" s="75"/>
      <c r="L51" s="75"/>
      <c r="M51" s="75"/>
      <c r="N51" s="75"/>
      <c r="O51" s="75"/>
      <c r="P51" s="76"/>
    </row>
    <row r="52" spans="1:17" x14ac:dyDescent="0.25">
      <c r="P52" s="53">
        <f>SUM(U5,AX11:AX44,P49,P50)</f>
        <v>6548885.333333333</v>
      </c>
    </row>
  </sheetData>
  <mergeCells count="59">
    <mergeCell ref="A46:P46"/>
    <mergeCell ref="A51:P51"/>
    <mergeCell ref="S3:T4"/>
    <mergeCell ref="S5:T5"/>
    <mergeCell ref="A7:AW7"/>
    <mergeCell ref="A47:A48"/>
    <mergeCell ref="B47:B48"/>
    <mergeCell ref="C47:C48"/>
    <mergeCell ref="D47:D48"/>
    <mergeCell ref="E47:E48"/>
    <mergeCell ref="F47:F48"/>
    <mergeCell ref="G47:I47"/>
    <mergeCell ref="J47:L47"/>
    <mergeCell ref="M47:O47"/>
    <mergeCell ref="P47:P48"/>
    <mergeCell ref="F3:F4"/>
    <mergeCell ref="G3:I3"/>
    <mergeCell ref="J3:L3"/>
    <mergeCell ref="M3:O3"/>
    <mergeCell ref="A3:A4"/>
    <mergeCell ref="B3:B4"/>
    <mergeCell ref="C3:C4"/>
    <mergeCell ref="D3:D4"/>
    <mergeCell ref="E3:E4"/>
    <mergeCell ref="AQ8:AS8"/>
    <mergeCell ref="AT8:AV8"/>
    <mergeCell ref="P3:R3"/>
    <mergeCell ref="Y8:AA8"/>
    <mergeCell ref="AB8:AD8"/>
    <mergeCell ref="AE8:AG8"/>
    <mergeCell ref="AH8:AJ8"/>
    <mergeCell ref="AK8:AM8"/>
    <mergeCell ref="A1:AX1"/>
    <mergeCell ref="A8:A9"/>
    <mergeCell ref="B8:B9"/>
    <mergeCell ref="C8:C9"/>
    <mergeCell ref="D8:D9"/>
    <mergeCell ref="E8:E9"/>
    <mergeCell ref="F8:F9"/>
    <mergeCell ref="AW8:AW9"/>
    <mergeCell ref="G8:I8"/>
    <mergeCell ref="J8:L8"/>
    <mergeCell ref="M8:O8"/>
    <mergeCell ref="P8:R8"/>
    <mergeCell ref="S8:U8"/>
    <mergeCell ref="V8:X8"/>
    <mergeCell ref="A2:T2"/>
    <mergeCell ref="AN8:AP8"/>
    <mergeCell ref="A10:AX10"/>
    <mergeCell ref="B17:B18"/>
    <mergeCell ref="C17:C18"/>
    <mergeCell ref="B14:B15"/>
    <mergeCell ref="C14:C15"/>
    <mergeCell ref="B26:B27"/>
    <mergeCell ref="C26:C27"/>
    <mergeCell ref="C29:C30"/>
    <mergeCell ref="B29:B30"/>
    <mergeCell ref="B38:B39"/>
    <mergeCell ref="C38:C39"/>
  </mergeCells>
  <pageMargins left="0.7" right="0.7" top="0.75" bottom="0.75" header="0.3" footer="0.3"/>
  <pageSetup fitToWidth="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2087</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Usuario</cp:lastModifiedBy>
  <cp:revision/>
  <dcterms:created xsi:type="dcterms:W3CDTF">2022-07-10T18:42:41Z</dcterms:created>
  <dcterms:modified xsi:type="dcterms:W3CDTF">2022-08-01T02:53:39Z</dcterms:modified>
  <cp:category/>
  <cp:contentStatus/>
</cp:coreProperties>
</file>