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fernandez\Documents\031 SECOP\informes convenio 0312018\Informes  2018 312018\Informes   TOTALES 2018 312018\5 MARZO 2019\"/>
    </mc:Choice>
  </mc:AlternateContent>
  <xr:revisionPtr revIDLastSave="0" documentId="8_{899F969F-CB0E-43CE-B21D-C40D1424A167}" xr6:coauthVersionLast="36" xr6:coauthVersionMax="36" xr10:uidLastSave="{00000000-0000-0000-0000-000000000000}"/>
  <bookViews>
    <workbookView xWindow="0" yWindow="0" windowWidth="20490" windowHeight="5445" activeTab="1" xr2:uid="{00000000-000D-0000-FFFF-FFFF00000000}"/>
  </bookViews>
  <sheets>
    <sheet name="INFORME GENERAL" sheetId="3" r:id="rId1"/>
    <sheet name="DETALLE MARZO" sheetId="5" r:id="rId2"/>
    <sheet name="INFORME GENERAL (2)" sheetId="4" state="hidden" r:id="rId3"/>
  </sheets>
  <externalReferences>
    <externalReference r:id="rId4"/>
  </externalReferences>
  <definedNames>
    <definedName name="_xlnm.Print_Area" localSheetId="1">'DETALLE MARZO'!$A$1:$Z$217</definedName>
    <definedName name="_xlnm.Print_Area" localSheetId="0">'INFORME GENERAL'!$A$1:$H$64</definedName>
    <definedName name="_xlnm.Print_Area" localSheetId="2">'INFORME GENERAL (2)'!$A$1:$I$63</definedName>
    <definedName name="_xlnm.Print_Titles" localSheetId="1">'DETALLE MARZO'!$24:$25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11" i="5" l="1"/>
  <c r="U173" i="5" l="1"/>
  <c r="U180" i="5" s="1"/>
  <c r="U114" i="5"/>
  <c r="H43" i="3"/>
  <c r="H45" i="3"/>
  <c r="H37" i="3"/>
  <c r="X191" i="5"/>
  <c r="W191" i="5"/>
  <c r="V191" i="5"/>
  <c r="U191" i="5"/>
  <c r="T191" i="5"/>
  <c r="S191" i="5"/>
  <c r="R191" i="5"/>
  <c r="X188" i="5"/>
  <c r="W188" i="5"/>
  <c r="V188" i="5"/>
  <c r="T188" i="5"/>
  <c r="R186" i="5"/>
  <c r="Q186" i="5"/>
  <c r="Z172" i="5"/>
  <c r="X180" i="5"/>
  <c r="W180" i="5"/>
  <c r="V180" i="5"/>
  <c r="S180" i="5"/>
  <c r="R180" i="5"/>
  <c r="Q180" i="5"/>
  <c r="O180" i="5"/>
  <c r="X153" i="5"/>
  <c r="W153" i="5"/>
  <c r="V153" i="5"/>
  <c r="S153" i="5"/>
  <c r="R153" i="5"/>
  <c r="Q153" i="5"/>
  <c r="X141" i="5"/>
  <c r="W141" i="5"/>
  <c r="V141" i="5"/>
  <c r="Z33" i="5"/>
  <c r="Y33" i="5"/>
  <c r="Y32" i="5"/>
  <c r="O31" i="5"/>
  <c r="V138" i="5"/>
  <c r="W138" i="5"/>
  <c r="X138" i="5"/>
  <c r="V137" i="5"/>
  <c r="W137" i="5"/>
  <c r="X137" i="5"/>
  <c r="T133" i="5"/>
  <c r="V133" i="5"/>
  <c r="W133" i="5"/>
  <c r="X133" i="5"/>
  <c r="Y129" i="5"/>
  <c r="Z129" i="5" s="1"/>
  <c r="R130" i="5"/>
  <c r="S130" i="5"/>
  <c r="T130" i="5"/>
  <c r="U130" i="5"/>
  <c r="V130" i="5"/>
  <c r="W130" i="5"/>
  <c r="X130" i="5"/>
  <c r="Y130" i="5"/>
  <c r="Q130" i="5"/>
  <c r="O130" i="5"/>
  <c r="Y125" i="5"/>
  <c r="Z125" i="5" s="1"/>
  <c r="X127" i="5"/>
  <c r="W127" i="5"/>
  <c r="V127" i="5"/>
  <c r="R127" i="5"/>
  <c r="Q127" i="5"/>
  <c r="O127" i="5"/>
  <c r="Y104" i="5"/>
  <c r="Z104" i="5" s="1"/>
  <c r="Y105" i="5"/>
  <c r="Z105" i="5" s="1"/>
  <c r="Y106" i="5"/>
  <c r="Z106" i="5" s="1"/>
  <c r="Y107" i="5"/>
  <c r="Z107" i="5" s="1"/>
  <c r="Y108" i="5"/>
  <c r="O108" i="5" s="1"/>
  <c r="Z108" i="5" s="1"/>
  <c r="Y109" i="5"/>
  <c r="O109" i="5" s="1"/>
  <c r="Z109" i="5" s="1"/>
  <c r="Y110" i="5"/>
  <c r="Z110" i="5" s="1"/>
  <c r="Y111" i="5"/>
  <c r="O111" i="5" s="1"/>
  <c r="Z111" i="5" s="1"/>
  <c r="Y112" i="5"/>
  <c r="Z112" i="5" s="1"/>
  <c r="Y113" i="5"/>
  <c r="Z113" i="5" s="1"/>
  <c r="Y115" i="5"/>
  <c r="Z115" i="5" s="1"/>
  <c r="Y116" i="5"/>
  <c r="Z116" i="5" s="1"/>
  <c r="Y117" i="5"/>
  <c r="Z117" i="5" s="1"/>
  <c r="Y118" i="5"/>
  <c r="Z118" i="5" s="1"/>
  <c r="Y119" i="5"/>
  <c r="Z119" i="5" s="1"/>
  <c r="Y120" i="5"/>
  <c r="Y121" i="5"/>
  <c r="Z121" i="5" s="1"/>
  <c r="Y122" i="5"/>
  <c r="Z122" i="5" s="1"/>
  <c r="R123" i="5"/>
  <c r="S123" i="5"/>
  <c r="V123" i="5"/>
  <c r="W123" i="5"/>
  <c r="X123" i="5"/>
  <c r="R91" i="5"/>
  <c r="S91" i="5"/>
  <c r="V91" i="5"/>
  <c r="W91" i="5"/>
  <c r="X91" i="5"/>
  <c r="Q91" i="5"/>
  <c r="R85" i="5"/>
  <c r="S85" i="5"/>
  <c r="V85" i="5"/>
  <c r="W85" i="5"/>
  <c r="X85" i="5"/>
  <c r="Q85" i="5"/>
  <c r="R81" i="5"/>
  <c r="S81" i="5"/>
  <c r="T81" i="5"/>
  <c r="U81" i="5"/>
  <c r="V81" i="5"/>
  <c r="W81" i="5"/>
  <c r="X81" i="5"/>
  <c r="Q81" i="5"/>
  <c r="R78" i="5"/>
  <c r="S78" i="5"/>
  <c r="U78" i="5"/>
  <c r="V78" i="5"/>
  <c r="W78" i="5"/>
  <c r="X78" i="5"/>
  <c r="Q78" i="5"/>
  <c r="R74" i="5"/>
  <c r="S74" i="5"/>
  <c r="U74" i="5"/>
  <c r="V74" i="5"/>
  <c r="W74" i="5"/>
  <c r="X74" i="5"/>
  <c r="Q74" i="5"/>
  <c r="R47" i="5"/>
  <c r="S47" i="5"/>
  <c r="T47" i="5"/>
  <c r="U47" i="5"/>
  <c r="V47" i="5"/>
  <c r="W47" i="5"/>
  <c r="X47" i="5"/>
  <c r="Q47" i="5"/>
  <c r="V41" i="5"/>
  <c r="W41" i="5"/>
  <c r="X41" i="5"/>
  <c r="R36" i="5"/>
  <c r="S36" i="5"/>
  <c r="V36" i="5"/>
  <c r="W36" i="5"/>
  <c r="X36" i="5"/>
  <c r="Q36" i="5"/>
  <c r="R34" i="5"/>
  <c r="S34" i="5"/>
  <c r="T34" i="5"/>
  <c r="U34" i="5"/>
  <c r="V34" i="5"/>
  <c r="W34" i="5"/>
  <c r="X34" i="5"/>
  <c r="R31" i="5"/>
  <c r="S31" i="5"/>
  <c r="T31" i="5"/>
  <c r="U31" i="5"/>
  <c r="V31" i="5"/>
  <c r="W31" i="5"/>
  <c r="X31" i="5"/>
  <c r="Q31" i="5"/>
  <c r="V29" i="5"/>
  <c r="V101" i="5" s="1"/>
  <c r="V102" i="5" s="1"/>
  <c r="W29" i="5"/>
  <c r="W101" i="5" s="1"/>
  <c r="W102" i="5" s="1"/>
  <c r="X29" i="5"/>
  <c r="V28" i="5"/>
  <c r="W28" i="5"/>
  <c r="X28" i="5"/>
  <c r="U181" i="5"/>
  <c r="U187" i="5"/>
  <c r="U188" i="5" s="1"/>
  <c r="U131" i="5"/>
  <c r="U133" i="5" s="1"/>
  <c r="U136" i="5"/>
  <c r="U137" i="5" s="1"/>
  <c r="U27" i="5"/>
  <c r="U28" i="5" s="1"/>
  <c r="U144" i="5"/>
  <c r="T144" i="5"/>
  <c r="H144" i="5"/>
  <c r="U45" i="5"/>
  <c r="U44" i="5"/>
  <c r="T45" i="5"/>
  <c r="T44" i="5"/>
  <c r="Y44" i="5" s="1"/>
  <c r="E44" i="5"/>
  <c r="O44" i="5" s="1"/>
  <c r="E48" i="5"/>
  <c r="O48" i="5" s="1"/>
  <c r="Y49" i="5"/>
  <c r="Y50" i="5"/>
  <c r="Y48" i="5"/>
  <c r="E49" i="5"/>
  <c r="O49" i="5" s="1"/>
  <c r="E50" i="5"/>
  <c r="O50" i="5" s="1"/>
  <c r="E47" i="5"/>
  <c r="X134" i="5" l="1"/>
  <c r="W134" i="5"/>
  <c r="V134" i="5"/>
  <c r="Y31" i="5"/>
  <c r="X101" i="5"/>
  <c r="X102" i="5" s="1"/>
  <c r="Y81" i="5"/>
  <c r="Y47" i="5"/>
  <c r="Z44" i="5"/>
  <c r="Z50" i="5"/>
  <c r="Z49" i="5"/>
  <c r="Z48" i="5"/>
  <c r="U123" i="5" l="1"/>
  <c r="T88" i="5"/>
  <c r="T150" i="5"/>
  <c r="T149" i="5"/>
  <c r="Y83" i="5"/>
  <c r="E83" i="5"/>
  <c r="Y80" i="5"/>
  <c r="E80" i="5"/>
  <c r="O80" i="5" s="1"/>
  <c r="Y76" i="5"/>
  <c r="E76" i="5"/>
  <c r="O76" i="5" s="1"/>
  <c r="H143" i="5"/>
  <c r="O143" i="5" s="1"/>
  <c r="O144" i="5"/>
  <c r="H145" i="5"/>
  <c r="O145" i="5" s="1"/>
  <c r="E43" i="5"/>
  <c r="O43" i="5" s="1"/>
  <c r="Y193" i="5"/>
  <c r="Z193" i="5" s="1"/>
  <c r="U161" i="5"/>
  <c r="U160" i="5"/>
  <c r="U159" i="5"/>
  <c r="U99" i="5"/>
  <c r="U98" i="5"/>
  <c r="Y98" i="5" s="1"/>
  <c r="U97" i="5"/>
  <c r="Y97" i="5" s="1"/>
  <c r="U151" i="5"/>
  <c r="U89" i="5"/>
  <c r="Y89" i="5" s="1"/>
  <c r="E69" i="5"/>
  <c r="E70" i="5"/>
  <c r="E71" i="5"/>
  <c r="U43" i="5"/>
  <c r="Y43" i="5" s="1"/>
  <c r="U143" i="5"/>
  <c r="Y143" i="5" s="1"/>
  <c r="U142" i="5"/>
  <c r="U42" i="5"/>
  <c r="U41" i="5" s="1"/>
  <c r="E64" i="5"/>
  <c r="O64" i="5" s="1"/>
  <c r="E65" i="5"/>
  <c r="O65" i="5" s="1"/>
  <c r="E66" i="5"/>
  <c r="O66" i="5" s="1"/>
  <c r="E67" i="5"/>
  <c r="O67" i="5" s="1"/>
  <c r="E68" i="5"/>
  <c r="O68" i="5" s="1"/>
  <c r="E63" i="5"/>
  <c r="O63" i="5" s="1"/>
  <c r="U145" i="5"/>
  <c r="U155" i="5"/>
  <c r="U156" i="5"/>
  <c r="U157" i="5"/>
  <c r="U158" i="5"/>
  <c r="U154" i="5"/>
  <c r="U149" i="5"/>
  <c r="U150" i="5"/>
  <c r="U148" i="5"/>
  <c r="U93" i="5"/>
  <c r="U94" i="5"/>
  <c r="U95" i="5"/>
  <c r="U96" i="5"/>
  <c r="U92" i="5"/>
  <c r="U87" i="5"/>
  <c r="U88" i="5"/>
  <c r="U86" i="5"/>
  <c r="U184" i="5"/>
  <c r="U186" i="5" s="1"/>
  <c r="U126" i="5"/>
  <c r="U127" i="5" s="1"/>
  <c r="U207" i="5"/>
  <c r="U205" i="5"/>
  <c r="U209" i="5" s="1"/>
  <c r="U215" i="5" s="1"/>
  <c r="U165" i="5"/>
  <c r="U163" i="5"/>
  <c r="U139" i="5"/>
  <c r="U138" i="5" s="1"/>
  <c r="U37" i="5"/>
  <c r="U36" i="5" s="1"/>
  <c r="U30" i="5"/>
  <c r="U29" i="5" s="1"/>
  <c r="T173" i="5"/>
  <c r="T114" i="5"/>
  <c r="H180" i="5"/>
  <c r="T181" i="5"/>
  <c r="Y192" i="5"/>
  <c r="Y99" i="5"/>
  <c r="Y82" i="5"/>
  <c r="Y72" i="5"/>
  <c r="Y69" i="5"/>
  <c r="Y71" i="5"/>
  <c r="Y70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173" i="5" l="1"/>
  <c r="Z173" i="5" s="1"/>
  <c r="T180" i="5"/>
  <c r="U141" i="5"/>
  <c r="U153" i="5"/>
  <c r="U85" i="5"/>
  <c r="U101" i="5" s="1"/>
  <c r="U102" i="5" s="1"/>
  <c r="U134" i="5" s="1"/>
  <c r="Y114" i="5"/>
  <c r="Z114" i="5" s="1"/>
  <c r="T123" i="5"/>
  <c r="U91" i="5"/>
  <c r="Z76" i="5"/>
  <c r="Z143" i="5"/>
  <c r="Z65" i="5"/>
  <c r="U210" i="5"/>
  <c r="Z43" i="5"/>
  <c r="Z80" i="5"/>
  <c r="Z63" i="5"/>
  <c r="Z64" i="5"/>
  <c r="U147" i="5"/>
  <c r="S184" i="5"/>
  <c r="S186" i="5" s="1"/>
  <c r="T184" i="5"/>
  <c r="T186" i="5" s="1"/>
  <c r="S126" i="5"/>
  <c r="T126" i="5"/>
  <c r="T127" i="5" s="1"/>
  <c r="T158" i="5"/>
  <c r="T157" i="5"/>
  <c r="T156" i="5"/>
  <c r="T155" i="5"/>
  <c r="T154" i="5"/>
  <c r="T153" i="5" s="1"/>
  <c r="T96" i="5"/>
  <c r="Y96" i="5" s="1"/>
  <c r="T95" i="5"/>
  <c r="Y95" i="5" s="1"/>
  <c r="T94" i="5"/>
  <c r="Y94" i="5" s="1"/>
  <c r="T93" i="5"/>
  <c r="Y93" i="5" s="1"/>
  <c r="T92" i="5"/>
  <c r="T145" i="5"/>
  <c r="Y145" i="5" s="1"/>
  <c r="Z145" i="5" s="1"/>
  <c r="Y45" i="5"/>
  <c r="T142" i="5"/>
  <c r="T141" i="5" s="1"/>
  <c r="T42" i="5"/>
  <c r="T41" i="5" s="1"/>
  <c r="T148" i="5"/>
  <c r="T87" i="5"/>
  <c r="Y87" i="5" s="1"/>
  <c r="T86" i="5"/>
  <c r="T79" i="5"/>
  <c r="T78" i="5" s="1"/>
  <c r="Y78" i="5" s="1"/>
  <c r="T75" i="5"/>
  <c r="T74" i="5" s="1"/>
  <c r="Y74" i="5" s="1"/>
  <c r="T139" i="5"/>
  <c r="T138" i="5" s="1"/>
  <c r="T30" i="5"/>
  <c r="T29" i="5" s="1"/>
  <c r="T37" i="5"/>
  <c r="T36" i="5" s="1"/>
  <c r="Y36" i="5" s="1"/>
  <c r="T136" i="5"/>
  <c r="T137" i="5" s="1"/>
  <c r="T27" i="5"/>
  <c r="T28" i="5" s="1"/>
  <c r="I186" i="5"/>
  <c r="H186" i="5"/>
  <c r="S127" i="5" l="1"/>
  <c r="Y126" i="5"/>
  <c r="Z126" i="5" s="1"/>
  <c r="U168" i="5"/>
  <c r="U189" i="5" s="1"/>
  <c r="Y86" i="5"/>
  <c r="T85" i="5"/>
  <c r="Y85" i="5" s="1"/>
  <c r="Y92" i="5"/>
  <c r="T91" i="5"/>
  <c r="Y91" i="5" s="1"/>
  <c r="T101" i="5"/>
  <c r="T102" i="5" s="1"/>
  <c r="T134" i="5" s="1"/>
  <c r="Y184" i="5"/>
  <c r="Z184" i="5" s="1"/>
  <c r="T147" i="5"/>
  <c r="Y88" i="5"/>
  <c r="B47" i="3"/>
  <c r="B46" i="3"/>
  <c r="B44" i="3"/>
  <c r="B42" i="3"/>
  <c r="B16" i="3"/>
  <c r="B15" i="3"/>
  <c r="B12" i="3"/>
  <c r="B11" i="3"/>
  <c r="B8" i="3"/>
  <c r="B7" i="3"/>
  <c r="B6" i="3"/>
  <c r="B5" i="3"/>
  <c r="B4" i="3"/>
  <c r="U169" i="5" l="1"/>
  <c r="U213" i="5"/>
  <c r="U214" i="5"/>
  <c r="B48" i="3"/>
  <c r="B14" i="3"/>
  <c r="B18" i="3"/>
  <c r="L209" i="5"/>
  <c r="K209" i="5"/>
  <c r="D45" i="3"/>
  <c r="F45" i="3" s="1"/>
  <c r="D43" i="3"/>
  <c r="F43" i="3" s="1"/>
  <c r="C47" i="3"/>
  <c r="D47" i="3" s="1"/>
  <c r="C46" i="3"/>
  <c r="D46" i="3" s="1"/>
  <c r="C44" i="3"/>
  <c r="D44" i="3" s="1"/>
  <c r="C42" i="3"/>
  <c r="Y185" i="5"/>
  <c r="Z185" i="5" s="1"/>
  <c r="Y182" i="5"/>
  <c r="Z182" i="5" s="1"/>
  <c r="D37" i="3"/>
  <c r="F37" i="3" s="1"/>
  <c r="U216" i="5" l="1"/>
  <c r="U211" i="5"/>
  <c r="C48" i="3"/>
  <c r="D42" i="3"/>
  <c r="D48" i="3" s="1"/>
  <c r="E133" i="5"/>
  <c r="B29" i="3" s="1"/>
  <c r="D29" i="3" s="1"/>
  <c r="E61" i="5" l="1"/>
  <c r="E62" i="5"/>
  <c r="E72" i="5"/>
  <c r="Y204" i="5"/>
  <c r="Y202" i="5"/>
  <c r="Y194" i="5"/>
  <c r="Y191" i="5" s="1"/>
  <c r="Y179" i="5"/>
  <c r="Z179" i="5" s="1"/>
  <c r="Y178" i="5"/>
  <c r="Z178" i="5" s="1"/>
  <c r="Y177" i="5"/>
  <c r="Z177" i="5" s="1"/>
  <c r="Y176" i="5"/>
  <c r="Z176" i="5" s="1"/>
  <c r="Y175" i="5"/>
  <c r="Z175" i="5" s="1"/>
  <c r="Y174" i="5"/>
  <c r="Z174" i="5" s="1"/>
  <c r="Y171" i="5"/>
  <c r="Z171" i="5" s="1"/>
  <c r="Y170" i="5"/>
  <c r="Y180" i="5" s="1"/>
  <c r="G35" i="3" s="1"/>
  <c r="Z165" i="5"/>
  <c r="Z163" i="5"/>
  <c r="Y124" i="5"/>
  <c r="O161" i="5"/>
  <c r="O160" i="5"/>
  <c r="O159" i="5"/>
  <c r="O158" i="5"/>
  <c r="O157" i="5"/>
  <c r="O156" i="5"/>
  <c r="O155" i="5"/>
  <c r="O154" i="5"/>
  <c r="O151" i="5"/>
  <c r="O150" i="5"/>
  <c r="O149" i="5"/>
  <c r="O148" i="5"/>
  <c r="O147" i="5" s="1"/>
  <c r="H142" i="5"/>
  <c r="E45" i="5"/>
  <c r="O45" i="5" s="1"/>
  <c r="Z45" i="5" s="1"/>
  <c r="E42" i="5"/>
  <c r="H141" i="5"/>
  <c r="E79" i="5"/>
  <c r="E75" i="5"/>
  <c r="N115" i="5"/>
  <c r="P115" i="5" s="1"/>
  <c r="Y198" i="5"/>
  <c r="O198" i="5" s="1"/>
  <c r="S207" i="5"/>
  <c r="R207" i="5"/>
  <c r="Q207" i="5"/>
  <c r="S205" i="5"/>
  <c r="S209" i="5" s="1"/>
  <c r="S215" i="5" s="1"/>
  <c r="R205" i="5"/>
  <c r="Q205" i="5"/>
  <c r="S187" i="5"/>
  <c r="S188" i="5" s="1"/>
  <c r="R187" i="5"/>
  <c r="R188" i="5" s="1"/>
  <c r="Q187" i="5"/>
  <c r="Q188" i="5" s="1"/>
  <c r="R196" i="5"/>
  <c r="Q196" i="5"/>
  <c r="Y183" i="5"/>
  <c r="S165" i="5"/>
  <c r="R165" i="5"/>
  <c r="Q165" i="5"/>
  <c r="S163" i="5"/>
  <c r="R163" i="5"/>
  <c r="Q163" i="5"/>
  <c r="R142" i="5"/>
  <c r="R141" i="5" s="1"/>
  <c r="Q123" i="5"/>
  <c r="Q139" i="5"/>
  <c r="Q138" i="5" s="1"/>
  <c r="Q136" i="5"/>
  <c r="Q131" i="5"/>
  <c r="Q133" i="5" s="1"/>
  <c r="K210" i="5"/>
  <c r="O194" i="5"/>
  <c r="Z194" i="5" s="1"/>
  <c r="O192" i="5"/>
  <c r="Q191" i="5"/>
  <c r="Y161" i="5"/>
  <c r="Y160" i="5"/>
  <c r="Y159" i="5"/>
  <c r="Y158" i="5"/>
  <c r="Y157" i="5"/>
  <c r="Y156" i="5"/>
  <c r="Y155" i="5"/>
  <c r="Y154" i="5"/>
  <c r="Y151" i="5"/>
  <c r="Y150" i="5"/>
  <c r="Y149" i="5"/>
  <c r="Y148" i="5"/>
  <c r="Y35" i="5"/>
  <c r="Y37" i="5"/>
  <c r="Y38" i="5"/>
  <c r="Y39" i="5"/>
  <c r="Y75" i="5"/>
  <c r="Y79" i="5"/>
  <c r="Y103" i="5"/>
  <c r="Y123" i="5" s="1"/>
  <c r="Y164" i="5"/>
  <c r="Y163" i="5" s="1"/>
  <c r="Y166" i="5"/>
  <c r="Y165" i="5" s="1"/>
  <c r="T128" i="5"/>
  <c r="T163" i="5"/>
  <c r="T165" i="5"/>
  <c r="T168" i="5" s="1"/>
  <c r="T189" i="5" s="1"/>
  <c r="T205" i="5"/>
  <c r="T209" i="5" s="1"/>
  <c r="T215" i="5" s="1"/>
  <c r="T207" i="5"/>
  <c r="F186" i="5"/>
  <c r="G186" i="5"/>
  <c r="B36" i="3"/>
  <c r="C36" i="3"/>
  <c r="J186" i="5"/>
  <c r="K186" i="5"/>
  <c r="L186" i="5"/>
  <c r="M186" i="5"/>
  <c r="E186" i="5"/>
  <c r="I188" i="5"/>
  <c r="C38" i="3" s="1"/>
  <c r="K194" i="5"/>
  <c r="K192" i="5"/>
  <c r="Y153" i="5" l="1"/>
  <c r="Z192" i="5"/>
  <c r="O191" i="5"/>
  <c r="O204" i="5"/>
  <c r="E46" i="3" s="1"/>
  <c r="G46" i="3"/>
  <c r="Q137" i="5"/>
  <c r="Q209" i="5"/>
  <c r="R209" i="5"/>
  <c r="R215" i="5" s="1"/>
  <c r="O153" i="5"/>
  <c r="Y127" i="5"/>
  <c r="Z124" i="5"/>
  <c r="Z127" i="5" s="1"/>
  <c r="O202" i="5"/>
  <c r="Z202" i="5" s="1"/>
  <c r="G44" i="3"/>
  <c r="G42" i="3"/>
  <c r="Z150" i="5"/>
  <c r="Z156" i="5"/>
  <c r="Y196" i="5"/>
  <c r="T169" i="5"/>
  <c r="T213" i="5"/>
  <c r="G26" i="3"/>
  <c r="T210" i="5"/>
  <c r="Z149" i="5"/>
  <c r="Z155" i="5"/>
  <c r="Z148" i="5"/>
  <c r="Z154" i="5"/>
  <c r="Z158" i="5"/>
  <c r="D36" i="3"/>
  <c r="Y147" i="5"/>
  <c r="Z191" i="5"/>
  <c r="Z151" i="5"/>
  <c r="Z157" i="5"/>
  <c r="Y187" i="5"/>
  <c r="Z159" i="5"/>
  <c r="Z160" i="5"/>
  <c r="Z161" i="5"/>
  <c r="H46" i="3" l="1"/>
  <c r="F46" i="3"/>
  <c r="Z153" i="5"/>
  <c r="O196" i="5"/>
  <c r="Z196" i="5" s="1"/>
  <c r="Z204" i="5"/>
  <c r="Y188" i="5"/>
  <c r="G38" i="3" s="1"/>
  <c r="E44" i="3"/>
  <c r="T214" i="5"/>
  <c r="T216" i="5" s="1"/>
  <c r="Z147" i="5"/>
  <c r="E42" i="3"/>
  <c r="S42" i="5"/>
  <c r="S41" i="5" s="1"/>
  <c r="R42" i="5"/>
  <c r="R41" i="5" s="1"/>
  <c r="Q42" i="5"/>
  <c r="O88" i="5"/>
  <c r="Z88" i="5" s="1"/>
  <c r="O83" i="5"/>
  <c r="Z83" i="5" s="1"/>
  <c r="N91" i="5"/>
  <c r="N85" i="5"/>
  <c r="E78" i="5"/>
  <c r="N78" i="5" s="1"/>
  <c r="O99" i="5"/>
  <c r="Z99" i="5" s="1"/>
  <c r="O98" i="5"/>
  <c r="Z98" i="5" s="1"/>
  <c r="O97" i="5"/>
  <c r="Z97" i="5" s="1"/>
  <c r="O96" i="5"/>
  <c r="Z96" i="5" s="1"/>
  <c r="O95" i="5"/>
  <c r="Z95" i="5" s="1"/>
  <c r="O94" i="5"/>
  <c r="Z94" i="5" s="1"/>
  <c r="O93" i="5"/>
  <c r="Z93" i="5" s="1"/>
  <c r="O92" i="5"/>
  <c r="O89" i="5"/>
  <c r="Z89" i="5" s="1"/>
  <c r="O87" i="5"/>
  <c r="Z87" i="5" s="1"/>
  <c r="O86" i="5"/>
  <c r="E82" i="5"/>
  <c r="O82" i="5" s="1"/>
  <c r="O75" i="5"/>
  <c r="O74" i="5" s="1"/>
  <c r="O72" i="5"/>
  <c r="Z72" i="5" s="1"/>
  <c r="O69" i="5"/>
  <c r="Z69" i="5" s="1"/>
  <c r="O71" i="5"/>
  <c r="Z71" i="5" s="1"/>
  <c r="O70" i="5"/>
  <c r="Z70" i="5" s="1"/>
  <c r="Z68" i="5"/>
  <c r="Z67" i="5"/>
  <c r="Z66" i="5"/>
  <c r="O62" i="5"/>
  <c r="Z62" i="5" s="1"/>
  <c r="O61" i="5"/>
  <c r="E39" i="5"/>
  <c r="O39" i="5" s="1"/>
  <c r="Z39" i="5" s="1"/>
  <c r="E38" i="5"/>
  <c r="O38" i="5" s="1"/>
  <c r="Z38" i="5" s="1"/>
  <c r="E37" i="5"/>
  <c r="O37" i="5" s="1"/>
  <c r="O35" i="5"/>
  <c r="Z32" i="5"/>
  <c r="Z31" i="5" s="1"/>
  <c r="E51" i="5"/>
  <c r="O51" i="5" s="1"/>
  <c r="E52" i="5"/>
  <c r="O52" i="5" s="1"/>
  <c r="Z52" i="5" s="1"/>
  <c r="E53" i="5"/>
  <c r="O53" i="5" s="1"/>
  <c r="Z53" i="5" s="1"/>
  <c r="E54" i="5"/>
  <c r="O54" i="5" s="1"/>
  <c r="Z54" i="5" s="1"/>
  <c r="E55" i="5"/>
  <c r="O55" i="5" s="1"/>
  <c r="Z55" i="5" s="1"/>
  <c r="E56" i="5"/>
  <c r="O56" i="5" s="1"/>
  <c r="Z56" i="5" s="1"/>
  <c r="E57" i="5"/>
  <c r="O57" i="5" s="1"/>
  <c r="Z57" i="5" s="1"/>
  <c r="E58" i="5"/>
  <c r="O58" i="5" s="1"/>
  <c r="Z58" i="5" s="1"/>
  <c r="E59" i="5"/>
  <c r="O59" i="5" s="1"/>
  <c r="Z59" i="5" s="1"/>
  <c r="E60" i="5"/>
  <c r="O60" i="5" s="1"/>
  <c r="Z60" i="5" s="1"/>
  <c r="E81" i="5"/>
  <c r="N81" i="5" s="1"/>
  <c r="E74" i="5"/>
  <c r="N74" i="5" s="1"/>
  <c r="N47" i="5"/>
  <c r="E36" i="5"/>
  <c r="N36" i="5" s="1"/>
  <c r="E34" i="5"/>
  <c r="N34" i="5" s="1"/>
  <c r="E31" i="5"/>
  <c r="N31" i="5" s="1"/>
  <c r="E29" i="5"/>
  <c r="O42" i="5"/>
  <c r="O41" i="5" s="1"/>
  <c r="N191" i="5"/>
  <c r="P191" i="5" s="1"/>
  <c r="M215" i="5"/>
  <c r="J214" i="5"/>
  <c r="M209" i="5"/>
  <c r="J209" i="5"/>
  <c r="G209" i="5"/>
  <c r="X207" i="5"/>
  <c r="W207" i="5"/>
  <c r="V207" i="5"/>
  <c r="N207" i="5"/>
  <c r="P207" i="5" s="1"/>
  <c r="X205" i="5"/>
  <c r="W205" i="5"/>
  <c r="W209" i="5" s="1"/>
  <c r="W215" i="5" s="1"/>
  <c r="V205" i="5"/>
  <c r="V209" i="5" s="1"/>
  <c r="V215" i="5" s="1"/>
  <c r="N205" i="5"/>
  <c r="N204" i="5"/>
  <c r="P204" i="5" s="1"/>
  <c r="N202" i="5"/>
  <c r="P202" i="5" s="1"/>
  <c r="X200" i="5"/>
  <c r="W200" i="5"/>
  <c r="V200" i="5"/>
  <c r="N200" i="5"/>
  <c r="Z198" i="5"/>
  <c r="N198" i="5"/>
  <c r="N196" i="5"/>
  <c r="H188" i="5"/>
  <c r="B38" i="3" s="1"/>
  <c r="D38" i="3" s="1"/>
  <c r="N187" i="5"/>
  <c r="N185" i="5"/>
  <c r="P185" i="5" s="1"/>
  <c r="N183" i="5"/>
  <c r="P183" i="5" s="1"/>
  <c r="N182" i="5"/>
  <c r="P182" i="5" s="1"/>
  <c r="X181" i="5"/>
  <c r="X186" i="5" s="1"/>
  <c r="W181" i="5"/>
  <c r="W186" i="5" s="1"/>
  <c r="V181" i="5"/>
  <c r="V186" i="5" s="1"/>
  <c r="N181" i="5"/>
  <c r="M180" i="5"/>
  <c r="M188" i="5" s="1"/>
  <c r="L180" i="5"/>
  <c r="K180" i="5"/>
  <c r="B35" i="3"/>
  <c r="F180" i="5"/>
  <c r="E180" i="5"/>
  <c r="N179" i="5"/>
  <c r="P179" i="5" s="1"/>
  <c r="N178" i="5"/>
  <c r="P178" i="5" s="1"/>
  <c r="N177" i="5"/>
  <c r="P177" i="5" s="1"/>
  <c r="N176" i="5"/>
  <c r="P176" i="5" s="1"/>
  <c r="I174" i="5"/>
  <c r="N175" i="5"/>
  <c r="N172" i="5"/>
  <c r="P172" i="5" s="1"/>
  <c r="N171" i="5"/>
  <c r="P171" i="5" s="1"/>
  <c r="Z170" i="5"/>
  <c r="Z180" i="5" s="1"/>
  <c r="N170" i="5"/>
  <c r="E35" i="3"/>
  <c r="H35" i="3" s="1"/>
  <c r="M169" i="5"/>
  <c r="M137" i="5"/>
  <c r="L137" i="5"/>
  <c r="J137" i="5"/>
  <c r="I137" i="5"/>
  <c r="C34" i="3" s="1"/>
  <c r="G137" i="5"/>
  <c r="F137" i="5"/>
  <c r="F169" i="5" s="1"/>
  <c r="E137" i="5"/>
  <c r="E169" i="5" s="1"/>
  <c r="S136" i="5"/>
  <c r="S137" i="5" s="1"/>
  <c r="R136" i="5"/>
  <c r="M168" i="5"/>
  <c r="L168" i="5"/>
  <c r="J168" i="5"/>
  <c r="G168" i="5"/>
  <c r="S142" i="5"/>
  <c r="S141" i="5" s="1"/>
  <c r="S168" i="5" s="1"/>
  <c r="Q142" i="5"/>
  <c r="Q141" i="5" s="1"/>
  <c r="O142" i="5"/>
  <c r="O141" i="5" s="1"/>
  <c r="N141" i="5"/>
  <c r="N153" i="5"/>
  <c r="P153" i="5" s="1"/>
  <c r="X147" i="5"/>
  <c r="W147" i="5"/>
  <c r="W168" i="5" s="1"/>
  <c r="W189" i="5" s="1"/>
  <c r="V147" i="5"/>
  <c r="R147" i="5"/>
  <c r="Q147" i="5"/>
  <c r="N147" i="5"/>
  <c r="P147" i="5" s="1"/>
  <c r="O167" i="5"/>
  <c r="O166" i="5"/>
  <c r="X165" i="5"/>
  <c r="W165" i="5"/>
  <c r="V165" i="5"/>
  <c r="I165" i="5"/>
  <c r="H165" i="5"/>
  <c r="O164" i="5"/>
  <c r="O163" i="5" s="1"/>
  <c r="X163" i="5"/>
  <c r="W163" i="5"/>
  <c r="I163" i="5"/>
  <c r="H163" i="5"/>
  <c r="S139" i="5"/>
  <c r="S138" i="5" s="1"/>
  <c r="R139" i="5"/>
  <c r="R138" i="5" s="1"/>
  <c r="O139" i="5"/>
  <c r="H138" i="5"/>
  <c r="L133" i="5"/>
  <c r="L134" i="5" s="1"/>
  <c r="I133" i="5"/>
  <c r="H133" i="5"/>
  <c r="F133" i="5"/>
  <c r="R132" i="5"/>
  <c r="Y132" i="5" s="1"/>
  <c r="N132" i="5"/>
  <c r="S131" i="5"/>
  <c r="S133" i="5" s="1"/>
  <c r="R131" i="5"/>
  <c r="R133" i="5" s="1"/>
  <c r="N131" i="5"/>
  <c r="E28" i="3"/>
  <c r="M130" i="5"/>
  <c r="L130" i="5"/>
  <c r="K130" i="5"/>
  <c r="J130" i="5"/>
  <c r="I130" i="5"/>
  <c r="H130" i="5"/>
  <c r="G130" i="5"/>
  <c r="F130" i="5"/>
  <c r="E130" i="5"/>
  <c r="B28" i="3" s="1"/>
  <c r="D28" i="3" s="1"/>
  <c r="X128" i="5"/>
  <c r="W128" i="5"/>
  <c r="S128" i="5"/>
  <c r="R128" i="5"/>
  <c r="Q128" i="5"/>
  <c r="N128" i="5"/>
  <c r="M127" i="5"/>
  <c r="I127" i="5"/>
  <c r="H127" i="5"/>
  <c r="F127" i="5"/>
  <c r="E127" i="5"/>
  <c r="B27" i="3" s="1"/>
  <c r="D27" i="3" s="1"/>
  <c r="N125" i="5"/>
  <c r="P125" i="5" s="1"/>
  <c r="N124" i="5"/>
  <c r="M123" i="5"/>
  <c r="L123" i="5"/>
  <c r="K123" i="5"/>
  <c r="I123" i="5"/>
  <c r="H123" i="5"/>
  <c r="F123" i="5"/>
  <c r="C26" i="3" s="1"/>
  <c r="C30" i="3" s="1"/>
  <c r="N122" i="5"/>
  <c r="P122" i="5" s="1"/>
  <c r="N121" i="5"/>
  <c r="P121" i="5" s="1"/>
  <c r="O120" i="5"/>
  <c r="Z120" i="5" s="1"/>
  <c r="N120" i="5"/>
  <c r="D120" i="5"/>
  <c r="N119" i="5"/>
  <c r="P119" i="5" s="1"/>
  <c r="N118" i="5"/>
  <c r="P118" i="5" s="1"/>
  <c r="N117" i="5"/>
  <c r="P117" i="5" s="1"/>
  <c r="N113" i="5"/>
  <c r="P113" i="5" s="1"/>
  <c r="N112" i="5"/>
  <c r="P112" i="5" s="1"/>
  <c r="N111" i="5"/>
  <c r="P111" i="5" s="1"/>
  <c r="N110" i="5"/>
  <c r="P110" i="5" s="1"/>
  <c r="N109" i="5"/>
  <c r="P109" i="5" s="1"/>
  <c r="N108" i="5"/>
  <c r="P108" i="5" s="1"/>
  <c r="E107" i="5"/>
  <c r="N107" i="5" s="1"/>
  <c r="P107" i="5" s="1"/>
  <c r="E106" i="5"/>
  <c r="N105" i="5"/>
  <c r="P105" i="5" s="1"/>
  <c r="N104" i="5"/>
  <c r="P104" i="5" s="1"/>
  <c r="N103" i="5"/>
  <c r="M102" i="5"/>
  <c r="L102" i="5"/>
  <c r="J102" i="5"/>
  <c r="G102" i="5"/>
  <c r="M101" i="5"/>
  <c r="L101" i="5"/>
  <c r="J101" i="5"/>
  <c r="I101" i="5"/>
  <c r="G101" i="5"/>
  <c r="F101" i="5"/>
  <c r="K91" i="5"/>
  <c r="H91" i="5"/>
  <c r="K85" i="5"/>
  <c r="H85" i="5"/>
  <c r="O79" i="5"/>
  <c r="O78" i="5" s="1"/>
  <c r="K78" i="5"/>
  <c r="K74" i="5"/>
  <c r="K168" i="5" s="1"/>
  <c r="H47" i="5"/>
  <c r="H41" i="5"/>
  <c r="B41" i="5"/>
  <c r="E41" i="5" s="1"/>
  <c r="Q34" i="5"/>
  <c r="Y34" i="5" s="1"/>
  <c r="S30" i="5"/>
  <c r="S29" i="5" s="1"/>
  <c r="S101" i="5" s="1"/>
  <c r="R30" i="5"/>
  <c r="R29" i="5" s="1"/>
  <c r="R101" i="5" s="1"/>
  <c r="Q30" i="5"/>
  <c r="O30" i="5"/>
  <c r="H29" i="5"/>
  <c r="M28" i="5"/>
  <c r="L28" i="5"/>
  <c r="K28" i="5"/>
  <c r="J28" i="5"/>
  <c r="I28" i="5"/>
  <c r="H28" i="5"/>
  <c r="G28" i="5"/>
  <c r="F28" i="5"/>
  <c r="E28" i="5"/>
  <c r="B25" i="3" s="1"/>
  <c r="D25" i="3" s="1"/>
  <c r="Z27" i="5"/>
  <c r="Z28" i="5" s="1"/>
  <c r="S27" i="5"/>
  <c r="S28" i="5" s="1"/>
  <c r="R27" i="5"/>
  <c r="R28" i="5" s="1"/>
  <c r="Q27" i="5"/>
  <c r="O27" i="5" s="1"/>
  <c r="N27" i="5"/>
  <c r="B20" i="5"/>
  <c r="B16" i="5"/>
  <c r="B12" i="5"/>
  <c r="X168" i="5" l="1"/>
  <c r="X189" i="5" s="1"/>
  <c r="S102" i="5"/>
  <c r="S134" i="5" s="1"/>
  <c r="R168" i="5"/>
  <c r="S189" i="5"/>
  <c r="N186" i="5"/>
  <c r="R134" i="5"/>
  <c r="V168" i="5"/>
  <c r="V189" i="5" s="1"/>
  <c r="N130" i="5"/>
  <c r="P128" i="5"/>
  <c r="P141" i="5"/>
  <c r="R137" i="5"/>
  <c r="Y136" i="5"/>
  <c r="X209" i="5"/>
  <c r="X215" i="5" s="1"/>
  <c r="F28" i="3"/>
  <c r="F44" i="3"/>
  <c r="H44" i="3"/>
  <c r="Z92" i="5"/>
  <c r="O91" i="5"/>
  <c r="Z51" i="5"/>
  <c r="O47" i="5"/>
  <c r="Z82" i="5"/>
  <c r="Z81" i="5" s="1"/>
  <c r="O81" i="5"/>
  <c r="P81" i="5" s="1"/>
  <c r="Z86" i="5"/>
  <c r="O85" i="5"/>
  <c r="R102" i="5"/>
  <c r="E123" i="5"/>
  <c r="Y144" i="5"/>
  <c r="Z144" i="5" s="1"/>
  <c r="P47" i="5"/>
  <c r="T211" i="5"/>
  <c r="P170" i="5"/>
  <c r="Y181" i="5"/>
  <c r="Y200" i="5"/>
  <c r="H42" i="3"/>
  <c r="F42" i="3"/>
  <c r="N133" i="5"/>
  <c r="E25" i="3"/>
  <c r="P130" i="5"/>
  <c r="K133" i="5"/>
  <c r="K134" i="5" s="1"/>
  <c r="Y128" i="5"/>
  <c r="Y131" i="5"/>
  <c r="Y137" i="5"/>
  <c r="Y207" i="5"/>
  <c r="Z207" i="5" s="1"/>
  <c r="P31" i="5"/>
  <c r="Z75" i="5"/>
  <c r="Z74" i="5" s="1"/>
  <c r="O29" i="5"/>
  <c r="O101" i="5" s="1"/>
  <c r="G27" i="3"/>
  <c r="Q168" i="5"/>
  <c r="Y142" i="5"/>
  <c r="Z79" i="5"/>
  <c r="Z78" i="5" s="1"/>
  <c r="O34" i="5"/>
  <c r="P34" i="5" s="1"/>
  <c r="Z35" i="5"/>
  <c r="Z34" i="5" s="1"/>
  <c r="M133" i="5"/>
  <c r="Y139" i="5"/>
  <c r="Y138" i="5" s="1"/>
  <c r="Y205" i="5"/>
  <c r="O36" i="5"/>
  <c r="Z37" i="5"/>
  <c r="Z36" i="5" s="1"/>
  <c r="Z85" i="5"/>
  <c r="Z91" i="5"/>
  <c r="Q41" i="5"/>
  <c r="Y41" i="5" s="1"/>
  <c r="Z61" i="5"/>
  <c r="B26" i="3"/>
  <c r="D26" i="3" s="1"/>
  <c r="Q210" i="5"/>
  <c r="R210" i="5"/>
  <c r="N209" i="5"/>
  <c r="N210" i="5" s="1"/>
  <c r="S210" i="5"/>
  <c r="O165" i="5"/>
  <c r="O168" i="5" s="1"/>
  <c r="Y42" i="5"/>
  <c r="Z42" i="5" s="1"/>
  <c r="Z41" i="5" s="1"/>
  <c r="Q28" i="5"/>
  <c r="Y27" i="5"/>
  <c r="Y28" i="5" s="1"/>
  <c r="G25" i="3" s="1"/>
  <c r="Q29" i="5"/>
  <c r="Y30" i="5"/>
  <c r="Z30" i="5" s="1"/>
  <c r="Z29" i="5" s="1"/>
  <c r="N174" i="5"/>
  <c r="P174" i="5" s="1"/>
  <c r="I180" i="5"/>
  <c r="C35" i="3" s="1"/>
  <c r="D35" i="3" s="1"/>
  <c r="F35" i="3" s="1"/>
  <c r="I168" i="5"/>
  <c r="C33" i="3" s="1"/>
  <c r="W169" i="5"/>
  <c r="V169" i="5"/>
  <c r="X169" i="5"/>
  <c r="G213" i="5"/>
  <c r="O132" i="5"/>
  <c r="Z132" i="5" s="1"/>
  <c r="Q215" i="5"/>
  <c r="P198" i="5"/>
  <c r="H101" i="5"/>
  <c r="H102" i="5" s="1"/>
  <c r="N127" i="5"/>
  <c r="P127" i="5" s="1"/>
  <c r="H168" i="5"/>
  <c r="B33" i="3" s="1"/>
  <c r="O103" i="5"/>
  <c r="O123" i="5" s="1"/>
  <c r="Z123" i="5" s="1"/>
  <c r="F134" i="5"/>
  <c r="F211" i="5" s="1"/>
  <c r="F213" i="5" s="1"/>
  <c r="N29" i="5"/>
  <c r="N41" i="5"/>
  <c r="N138" i="5"/>
  <c r="P138" i="5" s="1"/>
  <c r="N163" i="5"/>
  <c r="P163" i="5" s="1"/>
  <c r="P74" i="5"/>
  <c r="B21" i="5"/>
  <c r="P120" i="5"/>
  <c r="P124" i="5"/>
  <c r="P175" i="5"/>
  <c r="P196" i="5"/>
  <c r="L210" i="5"/>
  <c r="L211" i="5" s="1"/>
  <c r="L215" i="5" s="1"/>
  <c r="N28" i="5"/>
  <c r="P78" i="5"/>
  <c r="K101" i="5"/>
  <c r="N106" i="5"/>
  <c r="P106" i="5" s="1"/>
  <c r="N136" i="5"/>
  <c r="H137" i="5"/>
  <c r="B34" i="3" s="1"/>
  <c r="D34" i="3" s="1"/>
  <c r="F102" i="5"/>
  <c r="K102" i="5"/>
  <c r="K211" i="5"/>
  <c r="K215" i="5" s="1"/>
  <c r="O136" i="5"/>
  <c r="N188" i="5"/>
  <c r="N165" i="5"/>
  <c r="Y141" i="5" l="1"/>
  <c r="G29" i="3"/>
  <c r="Y133" i="5"/>
  <c r="O200" i="5"/>
  <c r="G47" i="3"/>
  <c r="G48" i="3" s="1"/>
  <c r="O205" i="5"/>
  <c r="Y209" i="5"/>
  <c r="Y210" i="5" s="1"/>
  <c r="O181" i="5"/>
  <c r="Y186" i="5"/>
  <c r="R189" i="5"/>
  <c r="Z139" i="5"/>
  <c r="H25" i="3"/>
  <c r="F25" i="3"/>
  <c r="Q101" i="5"/>
  <c r="Q102" i="5" s="1"/>
  <c r="Q134" i="5" s="1"/>
  <c r="Y29" i="5"/>
  <c r="Y101" i="5" s="1"/>
  <c r="Z136" i="5"/>
  <c r="P165" i="5"/>
  <c r="P168" i="5" s="1"/>
  <c r="Z47" i="5"/>
  <c r="Z101" i="5" s="1"/>
  <c r="Z200" i="5"/>
  <c r="P29" i="5"/>
  <c r="E33" i="3"/>
  <c r="N180" i="5"/>
  <c r="P180" i="5" s="1"/>
  <c r="N123" i="5"/>
  <c r="P123" i="5" s="1"/>
  <c r="O28" i="5"/>
  <c r="Z181" i="5"/>
  <c r="Z186" i="5" s="1"/>
  <c r="W214" i="5"/>
  <c r="V214" i="5"/>
  <c r="X214" i="5"/>
  <c r="X213" i="5"/>
  <c r="P103" i="5"/>
  <c r="E26" i="3"/>
  <c r="Y168" i="5"/>
  <c r="Y189" i="5" s="1"/>
  <c r="D33" i="3"/>
  <c r="B39" i="3"/>
  <c r="Z128" i="5"/>
  <c r="Z130" i="5" s="1"/>
  <c r="C39" i="3"/>
  <c r="C49" i="3" s="1"/>
  <c r="G34" i="3"/>
  <c r="G28" i="3"/>
  <c r="H28" i="3" s="1"/>
  <c r="R169" i="5"/>
  <c r="H189" i="5"/>
  <c r="H211" i="5" s="1"/>
  <c r="H214" i="5" s="1"/>
  <c r="Z138" i="5"/>
  <c r="Q169" i="5"/>
  <c r="Q189" i="5"/>
  <c r="S214" i="5"/>
  <c r="S169" i="5"/>
  <c r="Z103" i="5"/>
  <c r="I189" i="5"/>
  <c r="I211" i="5" s="1"/>
  <c r="I214" i="5" s="1"/>
  <c r="Z142" i="5"/>
  <c r="Z141" i="5" s="1"/>
  <c r="Z205" i="5"/>
  <c r="Z209" i="5" s="1"/>
  <c r="N168" i="5"/>
  <c r="P85" i="5"/>
  <c r="P91" i="5"/>
  <c r="P27" i="5"/>
  <c r="P28" i="5" s="1"/>
  <c r="P132" i="5"/>
  <c r="H169" i="5"/>
  <c r="N215" i="5"/>
  <c r="P36" i="5"/>
  <c r="E101" i="5"/>
  <c r="B24" i="3" s="1"/>
  <c r="N101" i="5"/>
  <c r="N102" i="5" s="1"/>
  <c r="P41" i="5"/>
  <c r="O137" i="5"/>
  <c r="E27" i="3"/>
  <c r="O131" i="5"/>
  <c r="N137" i="5"/>
  <c r="P136" i="5"/>
  <c r="O186" i="5" l="1"/>
  <c r="E36" i="3" s="1"/>
  <c r="F36" i="3" s="1"/>
  <c r="P181" i="5"/>
  <c r="P186" i="5" s="1"/>
  <c r="O209" i="5"/>
  <c r="O210" i="5" s="1"/>
  <c r="Z210" i="5" s="1"/>
  <c r="P205" i="5"/>
  <c r="E47" i="3"/>
  <c r="P200" i="5"/>
  <c r="P209" i="5" s="1"/>
  <c r="P210" i="5" s="1"/>
  <c r="H27" i="3"/>
  <c r="F27" i="3"/>
  <c r="F26" i="3"/>
  <c r="H26" i="3"/>
  <c r="X216" i="5"/>
  <c r="X211" i="5"/>
  <c r="O215" i="5"/>
  <c r="W213" i="5"/>
  <c r="W216" i="5" s="1"/>
  <c r="W211" i="5"/>
  <c r="V213" i="5"/>
  <c r="V216" i="5" s="1"/>
  <c r="V211" i="5"/>
  <c r="G33" i="3"/>
  <c r="Y169" i="5"/>
  <c r="D24" i="3"/>
  <c r="B30" i="3"/>
  <c r="B49" i="3" s="1"/>
  <c r="Z168" i="5"/>
  <c r="O102" i="5"/>
  <c r="E24" i="3"/>
  <c r="F33" i="3"/>
  <c r="D39" i="3"/>
  <c r="Z137" i="5"/>
  <c r="O169" i="5"/>
  <c r="E34" i="3"/>
  <c r="N214" i="5"/>
  <c r="Y214" i="5"/>
  <c r="G36" i="3"/>
  <c r="H36" i="3" s="1"/>
  <c r="R213" i="5"/>
  <c r="R214" i="5"/>
  <c r="P101" i="5"/>
  <c r="P102" i="5" s="1"/>
  <c r="N189" i="5"/>
  <c r="P215" i="5"/>
  <c r="N134" i="5"/>
  <c r="S213" i="5"/>
  <c r="S216" i="5" s="1"/>
  <c r="S211" i="5"/>
  <c r="E102" i="5"/>
  <c r="E134" i="5"/>
  <c r="E211" i="5" s="1"/>
  <c r="E213" i="5" s="1"/>
  <c r="Q213" i="5"/>
  <c r="P137" i="5"/>
  <c r="N169" i="5"/>
  <c r="Z131" i="5"/>
  <c r="Z133" i="5" s="1"/>
  <c r="O133" i="5"/>
  <c r="E29" i="3" s="1"/>
  <c r="P131" i="5"/>
  <c r="P133" i="5" s="1"/>
  <c r="E48" i="3" l="1"/>
  <c r="H47" i="3"/>
  <c r="H48" i="3" s="1"/>
  <c r="F47" i="3"/>
  <c r="F48" i="3" s="1"/>
  <c r="H34" i="3"/>
  <c r="F34" i="3"/>
  <c r="H33" i="3"/>
  <c r="G39" i="3"/>
  <c r="H29" i="3"/>
  <c r="F29" i="3"/>
  <c r="E30" i="3"/>
  <c r="F24" i="3"/>
  <c r="D30" i="3"/>
  <c r="D49" i="3" s="1"/>
  <c r="Z169" i="5"/>
  <c r="N211" i="5"/>
  <c r="R211" i="5"/>
  <c r="R216" i="5"/>
  <c r="P134" i="5"/>
  <c r="P213" i="5" s="1"/>
  <c r="N213" i="5"/>
  <c r="N216" i="5" s="1"/>
  <c r="Y215" i="5"/>
  <c r="O134" i="5"/>
  <c r="P169" i="5"/>
  <c r="Z215" i="5"/>
  <c r="N217" i="5" l="1"/>
  <c r="U217" i="5"/>
  <c r="T217" i="5"/>
  <c r="F30" i="3"/>
  <c r="S217" i="5"/>
  <c r="R217" i="5"/>
  <c r="O213" i="5"/>
  <c r="K54" i="4" l="1"/>
  <c r="I49" i="4"/>
  <c r="I47" i="4"/>
  <c r="E46" i="4"/>
  <c r="G46" i="4" s="1"/>
  <c r="D41" i="4"/>
  <c r="D37" i="4"/>
  <c r="D32" i="4"/>
  <c r="C32" i="4"/>
  <c r="D31" i="4"/>
  <c r="D30" i="4"/>
  <c r="D28" i="4"/>
  <c r="D27" i="4"/>
  <c r="C18" i="4"/>
  <c r="C17" i="4"/>
  <c r="C16" i="4"/>
  <c r="C14" i="4"/>
  <c r="C13" i="4"/>
  <c r="C12" i="4"/>
  <c r="C10" i="4"/>
  <c r="C9" i="4"/>
  <c r="C8" i="4"/>
  <c r="C7" i="4"/>
  <c r="C6" i="4"/>
  <c r="C19" i="4" l="1"/>
  <c r="C11" i="4"/>
  <c r="E32" i="4"/>
  <c r="C15" i="4"/>
  <c r="C50" i="4" l="1"/>
  <c r="C20" i="4"/>
  <c r="F50" i="4"/>
  <c r="D36" i="4" l="1"/>
  <c r="H48" i="4"/>
  <c r="F28" i="4" l="1"/>
  <c r="H28" i="4" l="1"/>
  <c r="I28" i="4" s="1"/>
  <c r="C48" i="4"/>
  <c r="C30" i="4"/>
  <c r="E30" i="4" s="1"/>
  <c r="C40" i="4" l="1"/>
  <c r="D39" i="4"/>
  <c r="C38" i="4"/>
  <c r="C39" i="4"/>
  <c r="D38" i="4"/>
  <c r="E39" i="4" l="1"/>
  <c r="E38" i="4"/>
  <c r="D29" i="4" l="1"/>
  <c r="D33" i="4" s="1"/>
  <c r="C29" i="4" l="1"/>
  <c r="E29" i="4" s="1"/>
  <c r="D47" i="4"/>
  <c r="F30" i="4"/>
  <c r="E47" i="4" l="1"/>
  <c r="G47" i="4" s="1"/>
  <c r="G30" i="4"/>
  <c r="C27" i="4"/>
  <c r="E27" i="4" l="1"/>
  <c r="C36" i="4" l="1"/>
  <c r="E36" i="4" l="1"/>
  <c r="F29" i="4" l="1"/>
  <c r="G29" i="4" s="1"/>
  <c r="F40" i="4" l="1"/>
  <c r="F48" i="4" l="1"/>
  <c r="I48" i="4" l="1"/>
  <c r="F51" i="4"/>
  <c r="D48" i="4" l="1"/>
  <c r="D50" i="4" l="1"/>
  <c r="E50" i="4" s="1"/>
  <c r="G50" i="4" s="1"/>
  <c r="E48" i="4"/>
  <c r="G48" i="4" s="1"/>
  <c r="C41" i="4"/>
  <c r="E41" i="4" s="1"/>
  <c r="D49" i="4" l="1"/>
  <c r="C31" i="4"/>
  <c r="E31" i="4" s="1"/>
  <c r="C28" i="4" l="1"/>
  <c r="F31" i="4"/>
  <c r="C45" i="4"/>
  <c r="E49" i="4"/>
  <c r="G49" i="4" s="1"/>
  <c r="D51" i="4"/>
  <c r="H29" i="4"/>
  <c r="I29" i="4" s="1"/>
  <c r="H31" i="4" l="1"/>
  <c r="I31" i="4" s="1"/>
  <c r="E45" i="4"/>
  <c r="C51" i="4"/>
  <c r="E28" i="4"/>
  <c r="C33" i="4"/>
  <c r="K33" i="4" s="1"/>
  <c r="G31" i="4"/>
  <c r="F27" i="4" l="1"/>
  <c r="G27" i="4" s="1"/>
  <c r="G45" i="4"/>
  <c r="G51" i="4" s="1"/>
  <c r="E51" i="4"/>
  <c r="G28" i="4"/>
  <c r="E33" i="4"/>
  <c r="F36" i="4"/>
  <c r="G36" i="4" s="1"/>
  <c r="H46" i="4" l="1"/>
  <c r="I46" i="4" s="1"/>
  <c r="B10" i="3"/>
  <c r="B19" i="3" s="1"/>
  <c r="H45" i="4" l="1"/>
  <c r="I45" i="4" s="1"/>
  <c r="H41" i="4"/>
  <c r="H27" i="4"/>
  <c r="H37" i="4"/>
  <c r="F37" i="4"/>
  <c r="H39" i="4" l="1"/>
  <c r="F39" i="4"/>
  <c r="F38" i="4"/>
  <c r="G38" i="4" s="1"/>
  <c r="H38" i="4"/>
  <c r="F41" i="4"/>
  <c r="I27" i="4"/>
  <c r="I37" i="4"/>
  <c r="F42" i="4" l="1"/>
  <c r="I39" i="4"/>
  <c r="G39" i="4"/>
  <c r="H40" i="4"/>
  <c r="I40" i="4" s="1"/>
  <c r="H36" i="4"/>
  <c r="I38" i="4"/>
  <c r="I41" i="4"/>
  <c r="G41" i="4"/>
  <c r="D40" i="4" l="1"/>
  <c r="I36" i="4"/>
  <c r="I42" i="4" s="1"/>
  <c r="H42" i="4"/>
  <c r="C37" i="4" l="1"/>
  <c r="C42" i="4" s="1"/>
  <c r="C52" i="4" s="1"/>
  <c r="E37" i="4"/>
  <c r="E40" i="4"/>
  <c r="G40" i="4" s="1"/>
  <c r="D42" i="4"/>
  <c r="D52" i="4" s="1"/>
  <c r="E42" i="4" l="1"/>
  <c r="E52" i="4" s="1"/>
  <c r="G37" i="4"/>
  <c r="G42" i="4" s="1"/>
  <c r="H50" i="4" l="1"/>
  <c r="H51" i="4" l="1"/>
  <c r="I50" i="4"/>
  <c r="I51" i="4" s="1"/>
  <c r="H30" i="4" l="1"/>
  <c r="I30" i="4" s="1"/>
  <c r="H32" i="4"/>
  <c r="H33" i="4" l="1"/>
  <c r="H52" i="4" s="1"/>
  <c r="H53" i="4" s="1"/>
  <c r="F32" i="4" l="1"/>
  <c r="F33" i="4" s="1"/>
  <c r="F52" i="4" s="1"/>
  <c r="F53" i="4" s="1"/>
  <c r="G32" i="4"/>
  <c r="G33" i="4" s="1"/>
  <c r="G52" i="4" s="1"/>
  <c r="G53" i="4" s="1"/>
  <c r="I32" i="4" l="1"/>
  <c r="I33" i="4" s="1"/>
  <c r="I52" i="4" s="1"/>
  <c r="I53" i="4" s="1"/>
  <c r="O187" i="5"/>
  <c r="O188" i="5" l="1"/>
  <c r="P187" i="5"/>
  <c r="P188" i="5" s="1"/>
  <c r="P189" i="5" s="1"/>
  <c r="Z187" i="5"/>
  <c r="Z188" i="5" s="1"/>
  <c r="Z189" i="5" s="1"/>
  <c r="E38" i="3" l="1"/>
  <c r="O189" i="5"/>
  <c r="O214" i="5" s="1"/>
  <c r="O216" i="5" s="1"/>
  <c r="P211" i="5"/>
  <c r="P214" i="5"/>
  <c r="P216" i="5" s="1"/>
  <c r="P217" i="5" s="1"/>
  <c r="H38" i="3" l="1"/>
  <c r="H39" i="3" s="1"/>
  <c r="F38" i="3"/>
  <c r="F39" i="3" s="1"/>
  <c r="F49" i="3" s="1"/>
  <c r="F50" i="3" s="1"/>
  <c r="E39" i="3"/>
  <c r="E49" i="3" s="1"/>
  <c r="O217" i="5"/>
  <c r="O211" i="5"/>
  <c r="Q211" i="5"/>
  <c r="Q214" i="5"/>
  <c r="Q216" i="5" s="1"/>
  <c r="Q217" i="5" s="1"/>
  <c r="J52" i="3" l="1"/>
  <c r="E50" i="3"/>
  <c r="Z214" i="5" l="1"/>
  <c r="Y102" i="5"/>
  <c r="Z102" i="5" l="1"/>
  <c r="Z134" i="5" s="1"/>
  <c r="G24" i="3"/>
  <c r="Y134" i="5"/>
  <c r="G30" i="3" l="1"/>
  <c r="G49" i="3" s="1"/>
  <c r="G50" i="3" s="1"/>
  <c r="H24" i="3"/>
  <c r="Z213" i="5"/>
  <c r="Z211" i="5"/>
  <c r="H30" i="3"/>
  <c r="Y211" i="5"/>
  <c r="Y213" i="5"/>
  <c r="Z216" i="5" l="1"/>
  <c r="Z217" i="5" s="1"/>
  <c r="Y216" i="5"/>
  <c r="Y217" i="5" s="1"/>
  <c r="H49" i="3"/>
  <c r="H5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Jhans</author>
  </authors>
  <commentList>
    <comment ref="U1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Jhans:</t>
        </r>
        <r>
          <rPr>
            <sz val="8"/>
            <color indexed="81"/>
            <rFont val="Tahoma"/>
            <family val="2"/>
          </rPr>
          <t xml:space="preserve">
el valor 1610000 corresponde al mes de febrero 2019 material vegetal cantera.
</t>
        </r>
      </text>
    </comment>
    <comment ref="U131" authorId="0" shapeId="0" xr:uid="{00000000-0006-0000-0100-000002000000}">
      <text>
        <r>
          <rPr>
            <b/>
            <sz val="8"/>
            <color indexed="81"/>
            <rFont val="Tahoma"/>
            <charset val="1"/>
          </rPr>
          <t>Jhans:</t>
        </r>
        <r>
          <rPr>
            <sz val="8"/>
            <color indexed="81"/>
            <rFont val="Tahoma"/>
            <charset val="1"/>
          </rPr>
          <t xml:space="preserve">
El valor 931,000 corresponde al 4*1000 de la resolucion 154 mes de febrero,
</t>
        </r>
      </text>
    </comment>
    <comment ref="U187" authorId="0" shapeId="0" xr:uid="{00000000-0006-0000-0100-000003000000}">
      <text>
        <r>
          <rPr>
            <b/>
            <sz val="8"/>
            <color indexed="81"/>
            <rFont val="Tahoma"/>
            <charset val="1"/>
          </rPr>
          <t>Jhans:</t>
        </r>
        <r>
          <rPr>
            <sz val="8"/>
            <color indexed="81"/>
            <rFont val="Tahoma"/>
            <charset val="1"/>
          </rPr>
          <t xml:space="preserve">
el valor 931,0000 corresponde al 4*1000 de la resolucion 154 
 mes de febrero</t>
        </r>
      </text>
    </comment>
  </commentList>
</comments>
</file>

<file path=xl/sharedStrings.xml><?xml version="1.0" encoding="utf-8"?>
<sst xmlns="http://schemas.openxmlformats.org/spreadsheetml/2006/main" count="421" uniqueCount="234">
  <si>
    <t>CANTIDAD</t>
  </si>
  <si>
    <t>PLAZO DE EJECUCION (MESES) O JORNADAS</t>
  </si>
  <si>
    <t>VALOR TOTAL DEL CONVENIO</t>
  </si>
  <si>
    <t>HONORARIOS MES</t>
  </si>
  <si>
    <t>DESCRIPCIÓN</t>
  </si>
  <si>
    <t>TOTAL EJECUCIÓN</t>
  </si>
  <si>
    <t>TOTAL PRESUPUESTO</t>
  </si>
  <si>
    <t>Aprobó:</t>
  </si>
  <si>
    <t>TOTAL COMPROMETIDO</t>
  </si>
  <si>
    <t>SALDO POR COMPROMETER</t>
  </si>
  <si>
    <t xml:space="preserve">Fecha de Inicio:  </t>
  </si>
  <si>
    <t xml:space="preserve">Fecha de Terminación: </t>
  </si>
  <si>
    <t>COMPROMETIDO</t>
  </si>
  <si>
    <t>% Ejecución</t>
  </si>
  <si>
    <t>Contratista</t>
  </si>
  <si>
    <t>Gastos Operativos</t>
  </si>
  <si>
    <t>Revisó:</t>
  </si>
  <si>
    <t>Elaboró:</t>
  </si>
  <si>
    <t>Silvana Cano Arenas</t>
  </si>
  <si>
    <t>Profesional Universitario Código 219 Grado 10</t>
  </si>
  <si>
    <t>Profesional Social</t>
  </si>
  <si>
    <t>Subtotal Transporte</t>
  </si>
  <si>
    <t>%</t>
  </si>
  <si>
    <t>Prendas Distintivas y Elementos de Protección Personal</t>
  </si>
  <si>
    <t>Subtotal Prendas Distintivas y Elementos de Protección Personal</t>
  </si>
  <si>
    <t>Subtotal Gastos Operativos</t>
  </si>
  <si>
    <t>ADICIÓN IDIPRON</t>
  </si>
  <si>
    <t>Transporte</t>
  </si>
  <si>
    <t>Jóvenes Beneficiarios</t>
  </si>
  <si>
    <t xml:space="preserve"> </t>
  </si>
  <si>
    <t>Técnico Operativo</t>
  </si>
  <si>
    <t>Personal Administrativo</t>
  </si>
  <si>
    <t>ADICIÓN SDA</t>
  </si>
  <si>
    <t>ADICIÓN FDLSC</t>
  </si>
  <si>
    <t>Profesional Apoyo Administrativo</t>
  </si>
  <si>
    <t>Subtotal Jovenes</t>
  </si>
  <si>
    <t>Subtotal Herramientas, Insumos y Equipos menores</t>
  </si>
  <si>
    <t>APORTE SDA</t>
  </si>
  <si>
    <t>APORTE FDLSC</t>
  </si>
  <si>
    <t>APORTE IDIPRON</t>
  </si>
  <si>
    <t>DINERO</t>
  </si>
  <si>
    <t>ESPECIE</t>
  </si>
  <si>
    <t xml:space="preserve">DINERO </t>
  </si>
  <si>
    <t>Transporte mayor (Volqueta)</t>
  </si>
  <si>
    <t>Transporte menor (Jóvenes)</t>
  </si>
  <si>
    <t>Transporte (Camión-Camioneta)</t>
  </si>
  <si>
    <t>GL</t>
  </si>
  <si>
    <t>Sede San Cristobal 60%</t>
  </si>
  <si>
    <t>Gastos Administrativos</t>
  </si>
  <si>
    <t>Gasto Financiero GMF 4*1000</t>
  </si>
  <si>
    <t>UN</t>
  </si>
  <si>
    <t>Subtotal Aportes SDA</t>
  </si>
  <si>
    <t>Subtotal Aportes FDLSC</t>
  </si>
  <si>
    <t>Subtotal Aportes IDIPRON</t>
  </si>
  <si>
    <t>Adición aportes SDA</t>
  </si>
  <si>
    <t>Valor Total aportes SDA</t>
  </si>
  <si>
    <t>Adición aportes FDLSC</t>
  </si>
  <si>
    <t>Valor Total aportes FDLSC</t>
  </si>
  <si>
    <t>Adición aportes IDIPRON</t>
  </si>
  <si>
    <t>Valor Total aportes IDIPRON</t>
  </si>
  <si>
    <t>VALOR TOTAL CONVENIO</t>
  </si>
  <si>
    <t>Profesional Coordinador</t>
  </si>
  <si>
    <t>Jovenes</t>
  </si>
  <si>
    <t>Herramientas, Insumos y Equipos menores</t>
  </si>
  <si>
    <t>SDA</t>
  </si>
  <si>
    <t>Valor Inicial Aportes SDA (Efectivo)</t>
  </si>
  <si>
    <t>Valor Inicial Aportes SDA (Especie)</t>
  </si>
  <si>
    <t>Cuentas de Cobro</t>
  </si>
  <si>
    <t>Valor Inicial Aportes FDLSC (Efectivo)</t>
  </si>
  <si>
    <t>Valor Inicial Aportes FDLSC (Especie)</t>
  </si>
  <si>
    <t>Valor Inicial Aportes IDIPRON (Efectivo)</t>
  </si>
  <si>
    <t>Valor Inicial Aportes IDIPRON (Especie)</t>
  </si>
  <si>
    <t>1er Desembolso 40%</t>
  </si>
  <si>
    <t>FDLSC</t>
  </si>
  <si>
    <t>2do Desembolso 30%</t>
  </si>
  <si>
    <t>3er Desembolso 20%</t>
  </si>
  <si>
    <t>4to Desembolso 10%</t>
  </si>
  <si>
    <t>Cuenta de Cobro</t>
  </si>
  <si>
    <t>Valor</t>
  </si>
  <si>
    <t>Mano de obra produccion de material vegetal</t>
  </si>
  <si>
    <t>Herramientas</t>
  </si>
  <si>
    <t>Insumos</t>
  </si>
  <si>
    <t xml:space="preserve">Adecuaciones locativas </t>
  </si>
  <si>
    <t>Identificacion de predios (mentenimiento y restauración)</t>
  </si>
  <si>
    <t>diagnostico y diseño de arreglos floristicos</t>
  </si>
  <si>
    <t>Material vegetal Restauración</t>
  </si>
  <si>
    <t>Material vegetal mantenimiento</t>
  </si>
  <si>
    <t>Insumos restauración</t>
  </si>
  <si>
    <t>Maquinaria Bioextrusora,</t>
  </si>
  <si>
    <t xml:space="preserve">Enlonado material final </t>
  </si>
  <si>
    <t>Enlonado material para chipeado</t>
  </si>
  <si>
    <t>Informe de Ejecución:</t>
  </si>
  <si>
    <t>Fecha de Desembolso</t>
  </si>
  <si>
    <t>Juan Carlos Romero Morales</t>
  </si>
  <si>
    <t>Aportes Secretaría Distrital de Ambiente -SDA</t>
  </si>
  <si>
    <t>Subtotal Personal SDA</t>
  </si>
  <si>
    <t>Subtotal Jóvenes Beneficiarios SDA</t>
  </si>
  <si>
    <t>Subtotal Jóvenes y Personal SDA</t>
  </si>
  <si>
    <t xml:space="preserve">Romero  Morales Juan Carlos </t>
  </si>
  <si>
    <t>Aportes Fondo de Desarrollo Local San Cristóbal - FDL SC</t>
  </si>
  <si>
    <t>Subtotal Personal Fondo de Desarrollo Local San Cristóbal - FDL SC</t>
  </si>
  <si>
    <t>Valor Aportes Fondo de Desarrollo Local San Cristóbal - FDL SC</t>
  </si>
  <si>
    <t>Valor Aportes Secretaría Distrital de Ambiente -SDA</t>
  </si>
  <si>
    <t xml:space="preserve">Valor Aportes Instituto Distrital para la Proteción de la Niñez y la Juventud - IDIPRON </t>
  </si>
  <si>
    <t>TOTAL EJECUTADO</t>
  </si>
  <si>
    <t>APORTES IDIPRON</t>
  </si>
  <si>
    <t>APORTES SDA</t>
  </si>
  <si>
    <t>TOTAL APORTES SDA</t>
  </si>
  <si>
    <t>APORTES FDL SAN CRISTÓBAL</t>
  </si>
  <si>
    <t>TOTAL  FDL SAN CRISTÓBAL</t>
  </si>
  <si>
    <t>Subtotal Jóvenes y Personal Fondo de Desarrollo Local San Cristóbal - FDL SC</t>
  </si>
  <si>
    <t>Gastos Bancarios (transacción estímulo corresponsabilidad)</t>
  </si>
  <si>
    <t>Coordinadora Convenios</t>
  </si>
  <si>
    <t>TOTAL   IDIPRON</t>
  </si>
  <si>
    <t>SALDO POR EJECUTAR RECURSOS COMPROMETIDOS</t>
  </si>
  <si>
    <t>CONVENIO 031/2018 
SUSCRITO ENTRE LA SECRETARIA DISTRITAL DE AMBIENTE - SDA, EL FONDO DE DESARROLLO LOCAL DE SAN CRISTOBAL - FDLSC Y EL IDIPRON</t>
  </si>
  <si>
    <t>EJECUCIÓN CORTE A 30/NOV/2018</t>
  </si>
  <si>
    <t>EJECUCIÓN CORTE A 31/DIC/2018</t>
  </si>
  <si>
    <t>EJECUCIÓN CORTE A 31/ENE/2019</t>
  </si>
  <si>
    <t>EJECUCIÓN CORTE A 28/FEB/2019</t>
  </si>
  <si>
    <t>EJECUCIÓN CORTE A 31/MAR/2019</t>
  </si>
  <si>
    <t>EJECUCIÓN CORTE A 30/ABR/2019</t>
  </si>
  <si>
    <t>EJECUCIÓN CORTE A 31/MAY/2019</t>
  </si>
  <si>
    <t>EJECUCIÓN CORTE A 30/JUN/2019</t>
  </si>
  <si>
    <t>Profesional Financiero</t>
  </si>
  <si>
    <t>Profesional de campo</t>
  </si>
  <si>
    <t>Operario de maquinaria</t>
  </si>
  <si>
    <t>Auxiliar de maquinaria</t>
  </si>
  <si>
    <t>Equipos</t>
  </si>
  <si>
    <t>Ferreteria</t>
  </si>
  <si>
    <t>Combustible (gasolina) + Aceite  (2 tiempos) mantenimiento y restauración</t>
  </si>
  <si>
    <t>Mantenimiento preventivo Chipiadora y bioextrusora-Lubricantes, filtros, engrase.</t>
  </si>
  <si>
    <t>Mantenimiento curativo global equipos.</t>
  </si>
  <si>
    <t>Chipeadoras (2)</t>
  </si>
  <si>
    <t>Maquina Bioextrusora MSZ B 15</t>
  </si>
  <si>
    <t>UND</t>
  </si>
  <si>
    <t>Enlonado (globos y lonas)</t>
  </si>
  <si>
    <t>Enlonado Final Biomasa.</t>
  </si>
  <si>
    <t>Maquinaria pesada</t>
  </si>
  <si>
    <t>Proceso pedagógico IDIPRON
Capacitación, Educación y Recreación)</t>
  </si>
  <si>
    <t xml:space="preserve">Comunicaciones </t>
  </si>
  <si>
    <t>Profesional especializado  (aportes  FDL San cristobal)</t>
  </si>
  <si>
    <t>Ingeniero (Aporte FDL San Cristobal)</t>
  </si>
  <si>
    <t xml:space="preserve">
CONVENIO 031/2018 
                                                                   SUSCRITO ENTRE LA SECRETARIA DISTRITAL DE AMBIENTE - SDA, EL FONDO DE DESARROLLO LOCAL DE SAN CRISTOBAL - FDLSC Y EL IDIPRON</t>
  </si>
  <si>
    <t>Juan Pablo Ramirez G</t>
  </si>
  <si>
    <t>Apoyo a la Supervisión del Convenio 031/2018</t>
  </si>
  <si>
    <t>Apoyo Financiero al Convenio 031/2018</t>
  </si>
  <si>
    <t>RESUMEN EJECUCIÓN DE APORTES - CORTE NOVIEMBRE DE 2018</t>
  </si>
  <si>
    <t>1er Desembolso 15,5%</t>
  </si>
  <si>
    <t>2do Desembolso 54,5%</t>
  </si>
  <si>
    <t>3er Desembolso 30%</t>
  </si>
  <si>
    <t>1er Desembolso 50%</t>
  </si>
  <si>
    <t>2do Desembolso 20%</t>
  </si>
  <si>
    <t>Seguimiento Financiero Convenios</t>
  </si>
  <si>
    <t xml:space="preserve">GL </t>
  </si>
  <si>
    <t>Profesional social</t>
  </si>
  <si>
    <t>Prendas distintivas</t>
  </si>
  <si>
    <t>Operario Maquina</t>
  </si>
  <si>
    <t>Orientadores Operativos</t>
  </si>
  <si>
    <t>Orientador Operativo</t>
  </si>
  <si>
    <t>Subtotal Servicio de transporte y maquinaria</t>
  </si>
  <si>
    <t>Aportes IDIPRON</t>
  </si>
  <si>
    <t>Romero  Morales Juan Carlos CPS 1434/2018</t>
  </si>
  <si>
    <t>Martinez Aristizabal Mateo CPS 1432/2018</t>
  </si>
  <si>
    <t>Lina Salazar  CPS 0486/2019</t>
  </si>
  <si>
    <t>Jhan Carlos Salazar cto 0645/2019</t>
  </si>
  <si>
    <t>Jose Giovanni Obando CPS 0340/2019</t>
  </si>
  <si>
    <t>Doris Sandoval CPS 0330/2019</t>
  </si>
  <si>
    <t>Reina Cecilia Villamil CPS 0336/2019</t>
  </si>
  <si>
    <t>Jorge Enrique Correa CPS 0312/2019</t>
  </si>
  <si>
    <t>Luis Gustavo Pineda CPS 0357/2019</t>
  </si>
  <si>
    <t>Noel Alexander Echeverry CPS 0375/2019</t>
  </si>
  <si>
    <t>Jair Castaño Perez CPS 0379/2019</t>
  </si>
  <si>
    <t>Luciano Mendez CPS 0382/2019</t>
  </si>
  <si>
    <t>Sandra Milena Ruiz CPS 0425/2019</t>
  </si>
  <si>
    <t>Eduim Dario Pulido CPS 0349/2019</t>
  </si>
  <si>
    <t>Grelwylkgac Gomez CPS 0468/2019</t>
  </si>
  <si>
    <t>Leydis Alexandra Galeano CPS 0430/2019</t>
  </si>
  <si>
    <t>Luis Fernando Enciso CPS 0684/2019</t>
  </si>
  <si>
    <t>Edison Andrey Peña CPS 0469/2019</t>
  </si>
  <si>
    <t>Miguel Sierra CPS 0428/2019</t>
  </si>
  <si>
    <t>Luis Rodolfo Parra CPS 0538/2019</t>
  </si>
  <si>
    <t>Zulma Natalia Tibocha CPS 0638/2019</t>
  </si>
  <si>
    <t>Sandra Carolina Rojas CPS 0697/2019</t>
  </si>
  <si>
    <t>Camilo Andres Maya CPS 0376/2019</t>
  </si>
  <si>
    <t>Anguie Paola Lopez CPS 0436/2019</t>
  </si>
  <si>
    <t>Rubeth Morales CPS 0467/2019</t>
  </si>
  <si>
    <t>Luis Albeiro Ramirez CPS 0471/2019</t>
  </si>
  <si>
    <t>Yenny Milena Lozano CPS 0497/2019</t>
  </si>
  <si>
    <t>Garzon Crispin Wendy Lorena CPS 1460/2018 (TIEMPO 4,5 MESES)</t>
  </si>
  <si>
    <t>Francisco Garcia Garcia CPS 1443/2018 (TIEMPO 4,5 MESES)</t>
  </si>
  <si>
    <t>Miguel Gonzalez CPS 1436/2018 (TIEMPO 4,5 MESES)</t>
  </si>
  <si>
    <t>Carreño Sanchez Carolina CPS 1437/2018 (TIEMPO 4,5 MESES)</t>
  </si>
  <si>
    <t>Moreno Moreno Andres Noel CPS 1433/2018 (TIEMPO 4,5 MESES)</t>
  </si>
  <si>
    <t>Luis Armando Farfan CPS 0683/2019</t>
  </si>
  <si>
    <t>Eduar Orlando Contreras CPS 0694/2019</t>
  </si>
  <si>
    <t>Sergio Moreno CPS 0714/2019</t>
  </si>
  <si>
    <t>CPS 1568 Union Temporal Idipron Premiun</t>
  </si>
  <si>
    <t xml:space="preserve">Transporte menor (Jóvenes) </t>
  </si>
  <si>
    <t>Coordinador del Convenio 031/2018</t>
  </si>
  <si>
    <t>Contratista CPS 1434/2018</t>
  </si>
  <si>
    <t>Jhan Carlos Salazar M</t>
  </si>
  <si>
    <t>Profesional Financiero Convenio 031/2018</t>
  </si>
  <si>
    <t>Contratista CPS 0645/2018</t>
  </si>
  <si>
    <t xml:space="preserve">Combustible maquinaria procesamiento de residuos vegetales </t>
  </si>
  <si>
    <t>OC 35452/2019 Organización Terpel S.A.</t>
  </si>
  <si>
    <t xml:space="preserve">Combustible (gasolina) + Aceite  (2 tiempos) mantenimiento y restauración </t>
  </si>
  <si>
    <t>CONVENIO 031/2018 
                                                                   SUSCRITO ENTRE LA SECRETARIA DISTRITAL DE AMBIENTE - SDA, EL FONDO DE DESARROLLO LOCAL DE SAN CRISTOBAL - FDLSC Y EL IDIPRON</t>
  </si>
  <si>
    <t>Jairo Rojas CPS 0840/2019</t>
  </si>
  <si>
    <t>Farid Camilo Fuentes CPS 0852/2019</t>
  </si>
  <si>
    <t>Francisco Erazo CPS 0854/2019</t>
  </si>
  <si>
    <t>Daniel Bustos CPS 0838/2019</t>
  </si>
  <si>
    <t>Javier Silva CPS 0894/2019</t>
  </si>
  <si>
    <t>Wendi Zambrano CPS 0876/2019</t>
  </si>
  <si>
    <t>Miguel Gonzalez CPS 1140/2019</t>
  </si>
  <si>
    <t>Francisco Garcia Garcia CPS 1152/2019</t>
  </si>
  <si>
    <t>Carreño Sanchez Carolina CPS 1126/2019</t>
  </si>
  <si>
    <t>Moreno Moreno Andres Noel CPS 1141/2019</t>
  </si>
  <si>
    <t>Paul Rios CPS 1132/2019</t>
  </si>
  <si>
    <t>Jose Suarez CPS 1127/2019</t>
  </si>
  <si>
    <t>Sergio Cuellar CPS 0985/2019</t>
  </si>
  <si>
    <t>Luis Fernando Gutierrez CPS 1131/2019</t>
  </si>
  <si>
    <t>Anderson Celis CPS 0811/2019</t>
  </si>
  <si>
    <t>Daniel Celis Reyes CPS 1045/2019</t>
  </si>
  <si>
    <t>Eduim Reyes Vergara CPS 1129/2019</t>
  </si>
  <si>
    <t>Aura Perez CPS 1004/2019</t>
  </si>
  <si>
    <t>Juan Patiño CPS 0865/2019</t>
  </si>
  <si>
    <t>CS 1555 TEAM CORP S.A.S.</t>
  </si>
  <si>
    <t>RESUMEN EJECUCIÓN DE APORTES - CORTE MARZO DE 2018</t>
  </si>
  <si>
    <t>RESUMEN EJECUCIÓN DE APORTES - CORTE MARZO DE 2019</t>
  </si>
  <si>
    <t>Juan Pablo Ramirez Garcia</t>
  </si>
  <si>
    <t>Contratista CPS 1168/2019</t>
  </si>
  <si>
    <t>Angie Maecha</t>
  </si>
  <si>
    <t>DETALLE DE LA EJECUCIÓN DEL PRESUPUESTO -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</si>
</sst>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</numFmts>
  <fonts count="2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u/>
      <sz val="10"/>
      <name val="Arial"/>
      <family val="2"/>
      <charset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charset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4">
    <xf numFmtId="0" fontId="0" fillId="0" borderId="0" xfId="0"/>
    <xf numFmtId="166" fontId="0" fillId="0" borderId="0" xfId="3" applyNumberFormat="1" applyFont="1"/>
    <xf numFmtId="0" fontId="0" fillId="0" borderId="0" xfId="0" applyFill="1"/>
    <xf numFmtId="0" fontId="2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6" fillId="0" borderId="0" xfId="0" applyFont="1"/>
    <xf numFmtId="0" fontId="0" fillId="0" borderId="12" xfId="0" applyBorder="1"/>
    <xf numFmtId="0" fontId="0" fillId="0" borderId="0" xfId="0" applyBorder="1"/>
    <xf numFmtId="166" fontId="0" fillId="0" borderId="0" xfId="0" applyNumberFormat="1"/>
    <xf numFmtId="166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39" xfId="2" applyFont="1" applyFill="1" applyBorder="1" applyAlignment="1">
      <alignment horizontal="center" vertical="center" wrapText="1"/>
    </xf>
    <xf numFmtId="0" fontId="1" fillId="0" borderId="40" xfId="2" applyFont="1" applyBorder="1"/>
    <xf numFmtId="0" fontId="1" fillId="0" borderId="41" xfId="2" applyFont="1" applyBorder="1"/>
    <xf numFmtId="0" fontId="4" fillId="0" borderId="0" xfId="2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/>
    </xf>
    <xf numFmtId="17" fontId="7" fillId="0" borderId="50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/>
    </xf>
    <xf numFmtId="14" fontId="7" fillId="0" borderId="9" xfId="2" applyNumberFormat="1" applyFont="1" applyFill="1" applyBorder="1" applyAlignment="1">
      <alignment vertical="center" wrapText="1"/>
    </xf>
    <xf numFmtId="0" fontId="4" fillId="0" borderId="51" xfId="2" applyFont="1" applyFill="1" applyBorder="1" applyAlignment="1">
      <alignment horizontal="left" vertical="center"/>
    </xf>
    <xf numFmtId="14" fontId="7" fillId="0" borderId="52" xfId="2" applyNumberFormat="1" applyFont="1" applyFill="1" applyBorder="1" applyAlignment="1">
      <alignment vertical="center" wrapText="1"/>
    </xf>
    <xf numFmtId="0" fontId="4" fillId="0" borderId="53" xfId="2" applyFont="1" applyFill="1" applyBorder="1" applyAlignment="1">
      <alignment horizontal="left" vertical="center"/>
    </xf>
    <xf numFmtId="166" fontId="5" fillId="0" borderId="21" xfId="2" applyNumberFormat="1" applyFont="1" applyFill="1" applyBorder="1" applyAlignment="1">
      <alignment vertical="center" wrapText="1"/>
    </xf>
    <xf numFmtId="166" fontId="5" fillId="0" borderId="38" xfId="2" applyNumberFormat="1" applyFont="1" applyFill="1" applyBorder="1" applyAlignment="1">
      <alignment vertical="center" wrapText="1"/>
    </xf>
    <xf numFmtId="166" fontId="7" fillId="0" borderId="38" xfId="2" applyNumberFormat="1" applyFont="1" applyFill="1" applyBorder="1" applyAlignment="1">
      <alignment vertical="center" wrapText="1"/>
    </xf>
    <xf numFmtId="0" fontId="4" fillId="3" borderId="7" xfId="2" applyFont="1" applyFill="1" applyBorder="1" applyAlignment="1">
      <alignment horizontal="left" vertical="center"/>
    </xf>
    <xf numFmtId="166" fontId="5" fillId="3" borderId="38" xfId="2" applyNumberFormat="1" applyFont="1" applyFill="1" applyBorder="1" applyAlignment="1">
      <alignment vertical="center" wrapText="1"/>
    </xf>
    <xf numFmtId="0" fontId="4" fillId="3" borderId="43" xfId="2" applyFont="1" applyFill="1" applyBorder="1" applyAlignment="1">
      <alignment horizontal="left" vertical="center"/>
    </xf>
    <xf numFmtId="166" fontId="5" fillId="3" borderId="54" xfId="2" applyNumberFormat="1" applyFont="1" applyFill="1" applyBorder="1" applyAlignment="1">
      <alignment vertical="center" wrapText="1"/>
    </xf>
    <xf numFmtId="0" fontId="8" fillId="7" borderId="55" xfId="2" applyFont="1" applyFill="1" applyBorder="1" applyAlignment="1">
      <alignment horizontal="left" vertical="center"/>
    </xf>
    <xf numFmtId="0" fontId="4" fillId="0" borderId="49" xfId="2" applyFont="1" applyFill="1" applyBorder="1" applyAlignment="1">
      <alignment horizontal="left" vertical="center"/>
    </xf>
    <xf numFmtId="0" fontId="7" fillId="0" borderId="38" xfId="2" applyFont="1" applyFill="1" applyBorder="1" applyAlignment="1">
      <alignment horizontal="center" vertical="center" wrapText="1"/>
    </xf>
    <xf numFmtId="166" fontId="7" fillId="0" borderId="11" xfId="3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166" fontId="7" fillId="0" borderId="42" xfId="3" applyNumberFormat="1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0" fontId="7" fillId="0" borderId="54" xfId="2" applyFont="1" applyFill="1" applyBorder="1" applyAlignment="1">
      <alignment horizontal="center" vertical="center" wrapText="1"/>
    </xf>
    <xf numFmtId="166" fontId="7" fillId="0" borderId="44" xfId="3" applyNumberFormat="1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horizontal="center" vertical="center"/>
    </xf>
    <xf numFmtId="0" fontId="4" fillId="0" borderId="59" xfId="2" applyFont="1" applyFill="1" applyBorder="1" applyAlignment="1">
      <alignment horizontal="center" vertical="center"/>
    </xf>
    <xf numFmtId="14" fontId="7" fillId="0" borderId="56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75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2" fillId="10" borderId="66" xfId="2" applyFont="1" applyFill="1" applyBorder="1" applyAlignment="1">
      <alignment vertical="center" wrapText="1"/>
    </xf>
    <xf numFmtId="0" fontId="2" fillId="10" borderId="2" xfId="2" applyFont="1" applyFill="1" applyBorder="1" applyAlignment="1">
      <alignment vertical="center" wrapText="1"/>
    </xf>
    <xf numFmtId="0" fontId="2" fillId="10" borderId="4" xfId="2" applyFont="1" applyFill="1" applyBorder="1" applyAlignment="1">
      <alignment horizontal="left" vertical="center" wrapText="1"/>
    </xf>
    <xf numFmtId="0" fontId="2" fillId="10" borderId="76" xfId="2" applyFont="1" applyFill="1" applyBorder="1" applyAlignment="1">
      <alignment horizontal="left" vertical="center" wrapText="1"/>
    </xf>
    <xf numFmtId="0" fontId="2" fillId="10" borderId="77" xfId="2" applyFont="1" applyFill="1" applyBorder="1" applyAlignment="1">
      <alignment horizontal="left" vertical="center" wrapText="1"/>
    </xf>
    <xf numFmtId="166" fontId="1" fillId="0" borderId="4" xfId="3" applyNumberFormat="1" applyFont="1" applyBorder="1" applyAlignment="1">
      <alignment horizontal="left"/>
    </xf>
    <xf numFmtId="166" fontId="1" fillId="0" borderId="45" xfId="3" applyNumberFormat="1" applyFont="1" applyBorder="1" applyAlignment="1">
      <alignment horizontal="left"/>
    </xf>
    <xf numFmtId="0" fontId="2" fillId="10" borderId="81" xfId="2" applyFont="1" applyFill="1" applyBorder="1" applyAlignment="1">
      <alignment vertical="center" wrapText="1"/>
    </xf>
    <xf numFmtId="166" fontId="5" fillId="10" borderId="82" xfId="3" applyNumberFormat="1" applyFont="1" applyFill="1" applyBorder="1" applyAlignment="1">
      <alignment horizontal="left" vertical="center" wrapText="1"/>
    </xf>
    <xf numFmtId="166" fontId="5" fillId="10" borderId="83" xfId="3" applyNumberFormat="1" applyFont="1" applyFill="1" applyBorder="1" applyAlignment="1">
      <alignment horizontal="left" vertical="center" wrapText="1"/>
    </xf>
    <xf numFmtId="0" fontId="1" fillId="0" borderId="51" xfId="2" applyFont="1" applyBorder="1"/>
    <xf numFmtId="0" fontId="1" fillId="0" borderId="84" xfId="2" applyFont="1" applyBorder="1"/>
    <xf numFmtId="166" fontId="1" fillId="0" borderId="85" xfId="3" applyNumberFormat="1" applyFont="1" applyBorder="1" applyAlignment="1">
      <alignment horizontal="left"/>
    </xf>
    <xf numFmtId="166" fontId="1" fillId="0" borderId="86" xfId="3" applyNumberFormat="1" applyFont="1" applyBorder="1" applyAlignment="1">
      <alignment horizontal="left"/>
    </xf>
    <xf numFmtId="0" fontId="2" fillId="10" borderId="7" xfId="2" applyFont="1" applyFill="1" applyBorder="1" applyAlignment="1">
      <alignment vertical="center" wrapText="1"/>
    </xf>
    <xf numFmtId="166" fontId="2" fillId="10" borderId="4" xfId="3" applyNumberFormat="1" applyFont="1" applyFill="1" applyBorder="1" applyAlignment="1">
      <alignment horizontal="left" vertical="center" wrapText="1"/>
    </xf>
    <xf numFmtId="166" fontId="2" fillId="10" borderId="76" xfId="3" applyNumberFormat="1" applyFont="1" applyFill="1" applyBorder="1" applyAlignment="1">
      <alignment horizontal="left" vertical="center" wrapText="1"/>
    </xf>
    <xf numFmtId="166" fontId="2" fillId="10" borderId="77" xfId="3" applyNumberFormat="1" applyFont="1" applyFill="1" applyBorder="1" applyAlignment="1">
      <alignment horizontal="left" vertical="center" wrapText="1"/>
    </xf>
    <xf numFmtId="166" fontId="1" fillId="0" borderId="88" xfId="3" applyNumberFormat="1" applyFont="1" applyBorder="1" applyAlignment="1">
      <alignment horizontal="left"/>
    </xf>
    <xf numFmtId="0" fontId="11" fillId="2" borderId="20" xfId="2" applyFont="1" applyFill="1" applyBorder="1"/>
    <xf numFmtId="9" fontId="0" fillId="0" borderId="0" xfId="4" applyNumberFormat="1" applyFont="1" applyAlignment="1">
      <alignment horizontal="center"/>
    </xf>
    <xf numFmtId="0" fontId="2" fillId="10" borderId="92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166" fontId="0" fillId="0" borderId="0" xfId="3" applyNumberFormat="1" applyFont="1" applyFill="1" applyBorder="1" applyAlignment="1">
      <alignment horizontal="left"/>
    </xf>
    <xf numFmtId="166" fontId="1" fillId="0" borderId="0" xfId="3" applyNumberFormat="1" applyFont="1" applyFill="1" applyBorder="1" applyAlignment="1">
      <alignment horizontal="left"/>
    </xf>
    <xf numFmtId="166" fontId="10" fillId="0" borderId="0" xfId="3" applyNumberFormat="1" applyFont="1" applyFill="1" applyBorder="1" applyAlignment="1">
      <alignment horizontal="left" vertical="center"/>
    </xf>
    <xf numFmtId="166" fontId="11" fillId="0" borderId="0" xfId="3" applyNumberFormat="1" applyFont="1" applyFill="1" applyBorder="1" applyAlignment="1">
      <alignment horizontal="left"/>
    </xf>
    <xf numFmtId="9" fontId="0" fillId="0" borderId="0" xfId="4" applyNumberFormat="1" applyFont="1" applyFill="1" applyBorder="1" applyAlignment="1">
      <alignment horizontal="center"/>
    </xf>
    <xf numFmtId="0" fontId="2" fillId="10" borderId="87" xfId="2" applyFont="1" applyFill="1" applyBorder="1" applyAlignment="1">
      <alignment horizontal="left" vertical="center" wrapText="1"/>
    </xf>
    <xf numFmtId="166" fontId="5" fillId="10" borderId="89" xfId="3" applyNumberFormat="1" applyFont="1" applyFill="1" applyBorder="1" applyAlignment="1">
      <alignment horizontal="left" vertical="center" wrapText="1"/>
    </xf>
    <xf numFmtId="166" fontId="1" fillId="0" borderId="93" xfId="3" applyNumberFormat="1" applyFont="1" applyBorder="1" applyAlignment="1">
      <alignment horizontal="left"/>
    </xf>
    <xf numFmtId="166" fontId="2" fillId="10" borderId="87" xfId="3" applyNumberFormat="1" applyFont="1" applyFill="1" applyBorder="1" applyAlignment="1">
      <alignment horizontal="left" vertical="center" wrapText="1"/>
    </xf>
    <xf numFmtId="166" fontId="5" fillId="7" borderId="94" xfId="2" applyNumberFormat="1" applyFont="1" applyFill="1" applyBorder="1" applyAlignment="1">
      <alignment vertical="center" wrapText="1"/>
    </xf>
    <xf numFmtId="166" fontId="11" fillId="2" borderId="90" xfId="2" applyNumberFormat="1" applyFont="1" applyFill="1" applyBorder="1" applyAlignment="1">
      <alignment horizontal="center"/>
    </xf>
    <xf numFmtId="166" fontId="11" fillId="2" borderId="95" xfId="2" applyNumberFormat="1" applyFont="1" applyFill="1" applyBorder="1" applyAlignment="1">
      <alignment horizontal="center"/>
    </xf>
    <xf numFmtId="14" fontId="7" fillId="0" borderId="38" xfId="2" applyNumberFormat="1" applyFont="1" applyFill="1" applyBorder="1" applyAlignment="1">
      <alignment horizontal="center" vertical="center" wrapText="1"/>
    </xf>
    <xf numFmtId="0" fontId="12" fillId="0" borderId="7" xfId="2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 wrapText="1"/>
    </xf>
    <xf numFmtId="0" fontId="9" fillId="0" borderId="7" xfId="0" applyFont="1" applyBorder="1"/>
    <xf numFmtId="0" fontId="9" fillId="0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/>
    </xf>
    <xf numFmtId="0" fontId="9" fillId="6" borderId="7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4" fillId="0" borderId="0" xfId="0" applyFont="1" applyFill="1"/>
    <xf numFmtId="0" fontId="15" fillId="0" borderId="0" xfId="2" applyFont="1" applyFill="1" applyBorder="1" applyAlignment="1">
      <alignment horizontal="center" vertical="center" wrapText="1"/>
    </xf>
    <xf numFmtId="4" fontId="16" fillId="0" borderId="0" xfId="1" applyNumberFormat="1" applyFont="1" applyFill="1" applyBorder="1" applyAlignment="1">
      <alignment horizontal="center" vertical="center" wrapText="1"/>
    </xf>
    <xf numFmtId="4" fontId="15" fillId="0" borderId="0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/>
    </xf>
    <xf numFmtId="17" fontId="9" fillId="0" borderId="50" xfId="2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9" fillId="0" borderId="7" xfId="2" applyFont="1" applyFill="1" applyBorder="1" applyAlignment="1">
      <alignment horizontal="left" vertical="center"/>
    </xf>
    <xf numFmtId="14" fontId="9" fillId="0" borderId="38" xfId="2" applyNumberFormat="1" applyFont="1" applyFill="1" applyBorder="1" applyAlignment="1">
      <alignment vertical="center" wrapText="1"/>
    </xf>
    <xf numFmtId="0" fontId="14" fillId="0" borderId="0" xfId="0" applyFont="1"/>
    <xf numFmtId="166" fontId="15" fillId="0" borderId="0" xfId="2" applyNumberFormat="1" applyFont="1" applyFill="1" applyBorder="1" applyAlignment="1">
      <alignment horizontal="center" vertical="center" wrapText="1"/>
    </xf>
    <xf numFmtId="0" fontId="9" fillId="0" borderId="60" xfId="2" applyFont="1" applyFill="1" applyBorder="1" applyAlignment="1">
      <alignment horizontal="left" vertical="center"/>
    </xf>
    <xf numFmtId="14" fontId="9" fillId="0" borderId="61" xfId="2" applyNumberFormat="1" applyFont="1" applyFill="1" applyBorder="1" applyAlignment="1">
      <alignment vertical="center" wrapText="1"/>
    </xf>
    <xf numFmtId="0" fontId="9" fillId="0" borderId="62" xfId="2" applyFont="1" applyFill="1" applyBorder="1" applyAlignment="1">
      <alignment horizontal="left" vertical="center"/>
    </xf>
    <xf numFmtId="0" fontId="14" fillId="0" borderId="63" xfId="0" applyFont="1" applyFill="1" applyBorder="1"/>
    <xf numFmtId="0" fontId="9" fillId="0" borderId="53" xfId="2" applyFont="1" applyFill="1" applyBorder="1" applyAlignment="1">
      <alignment horizontal="left" vertical="center"/>
    </xf>
    <xf numFmtId="166" fontId="9" fillId="0" borderId="21" xfId="2" applyNumberFormat="1" applyFont="1" applyFill="1" applyBorder="1" applyAlignment="1">
      <alignment vertical="center" wrapText="1"/>
    </xf>
    <xf numFmtId="166" fontId="9" fillId="0" borderId="38" xfId="2" applyNumberFormat="1" applyFont="1" applyFill="1" applyBorder="1" applyAlignment="1">
      <alignment vertical="center" wrapText="1"/>
    </xf>
    <xf numFmtId="0" fontId="9" fillId="3" borderId="7" xfId="2" applyFont="1" applyFill="1" applyBorder="1" applyAlignment="1">
      <alignment horizontal="left" vertical="center"/>
    </xf>
    <xf numFmtId="166" fontId="9" fillId="3" borderId="38" xfId="2" applyNumberFormat="1" applyFont="1" applyFill="1" applyBorder="1" applyAlignment="1">
      <alignment vertical="center" wrapText="1"/>
    </xf>
    <xf numFmtId="0" fontId="17" fillId="7" borderId="10" xfId="2" applyFont="1" applyFill="1" applyBorder="1" applyAlignment="1">
      <alignment horizontal="left" vertical="center"/>
    </xf>
    <xf numFmtId="166" fontId="9" fillId="7" borderId="22" xfId="2" applyNumberFormat="1" applyFont="1" applyFill="1" applyBorder="1" applyAlignment="1">
      <alignment vertical="center" wrapText="1"/>
    </xf>
    <xf numFmtId="0" fontId="15" fillId="0" borderId="13" xfId="2" applyFont="1" applyFill="1" applyBorder="1" applyAlignment="1">
      <alignment horizontal="left" vertical="center"/>
    </xf>
    <xf numFmtId="166" fontId="18" fillId="0" borderId="0" xfId="2" applyNumberFormat="1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vertical="center" wrapText="1"/>
    </xf>
    <xf numFmtId="4" fontId="16" fillId="5" borderId="0" xfId="1" applyNumberFormat="1" applyFont="1" applyFill="1" applyBorder="1" applyAlignment="1">
      <alignment vertical="center" wrapText="1"/>
    </xf>
    <xf numFmtId="4" fontId="14" fillId="6" borderId="0" xfId="0" applyNumberFormat="1" applyFont="1" applyFill="1" applyBorder="1"/>
    <xf numFmtId="0" fontId="14" fillId="6" borderId="0" xfId="0" applyFont="1" applyFill="1" applyBorder="1"/>
    <xf numFmtId="0" fontId="14" fillId="6" borderId="0" xfId="0" applyFont="1" applyFill="1"/>
    <xf numFmtId="0" fontId="18" fillId="12" borderId="26" xfId="2" applyFont="1" applyFill="1" applyBorder="1" applyAlignment="1">
      <alignment horizontal="center" vertical="center" wrapText="1"/>
    </xf>
    <xf numFmtId="0" fontId="18" fillId="12" borderId="16" xfId="2" applyFont="1" applyFill="1" applyBorder="1" applyAlignment="1">
      <alignment horizontal="center" vertical="center" wrapText="1"/>
    </xf>
    <xf numFmtId="0" fontId="18" fillId="3" borderId="19" xfId="2" applyFont="1" applyFill="1" applyBorder="1" applyAlignment="1">
      <alignment horizontal="center" vertical="center" wrapText="1"/>
    </xf>
    <xf numFmtId="0" fontId="18" fillId="3" borderId="18" xfId="2" applyFont="1" applyFill="1" applyBorder="1" applyAlignment="1">
      <alignment horizontal="center" vertical="center" wrapText="1"/>
    </xf>
    <xf numFmtId="0" fontId="18" fillId="3" borderId="74" xfId="2" applyFont="1" applyFill="1" applyBorder="1" applyAlignment="1">
      <alignment horizontal="center" vertical="center" wrapText="1"/>
    </xf>
    <xf numFmtId="0" fontId="18" fillId="3" borderId="15" xfId="2" applyFont="1" applyFill="1" applyBorder="1" applyAlignment="1">
      <alignment horizontal="center" vertical="center" wrapText="1"/>
    </xf>
    <xf numFmtId="0" fontId="18" fillId="3" borderId="28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48" xfId="2" applyFont="1" applyFill="1" applyBorder="1" applyAlignment="1">
      <alignment horizontal="center" vertical="center" wrapText="1"/>
    </xf>
    <xf numFmtId="0" fontId="9" fillId="4" borderId="5" xfId="2" applyFont="1" applyFill="1" applyBorder="1"/>
    <xf numFmtId="0" fontId="9" fillId="4" borderId="6" xfId="2" applyFont="1" applyFill="1" applyBorder="1" applyAlignment="1">
      <alignment horizontal="center"/>
    </xf>
    <xf numFmtId="166" fontId="9" fillId="4" borderId="6" xfId="3" applyNumberFormat="1" applyFont="1" applyFill="1" applyBorder="1" applyAlignment="1">
      <alignment horizontal="center"/>
    </xf>
    <xf numFmtId="166" fontId="18" fillId="4" borderId="6" xfId="3" applyNumberFormat="1" applyFont="1" applyFill="1" applyBorder="1" applyAlignment="1">
      <alignment horizontal="center"/>
    </xf>
    <xf numFmtId="166" fontId="9" fillId="4" borderId="6" xfId="3" applyNumberFormat="1" applyFont="1" applyFill="1" applyBorder="1" applyAlignment="1">
      <alignment horizontal="center" vertical="center"/>
    </xf>
    <xf numFmtId="166" fontId="18" fillId="4" borderId="6" xfId="3" applyNumberFormat="1" applyFont="1" applyFill="1" applyBorder="1" applyAlignment="1">
      <alignment horizontal="center" vertical="center"/>
    </xf>
    <xf numFmtId="166" fontId="18" fillId="4" borderId="99" xfId="3" applyNumberFormat="1" applyFont="1" applyFill="1" applyBorder="1" applyAlignment="1">
      <alignment horizontal="center" vertical="center"/>
    </xf>
    <xf numFmtId="166" fontId="18" fillId="4" borderId="98" xfId="3" applyNumberFormat="1" applyFont="1" applyFill="1" applyBorder="1" applyAlignment="1">
      <alignment horizontal="center" vertical="center"/>
    </xf>
    <xf numFmtId="166" fontId="14" fillId="0" borderId="0" xfId="0" applyNumberFormat="1" applyFont="1"/>
    <xf numFmtId="0" fontId="18" fillId="8" borderId="7" xfId="2" applyFont="1" applyFill="1" applyBorder="1"/>
    <xf numFmtId="0" fontId="18" fillId="8" borderId="1" xfId="2" applyFont="1" applyFill="1" applyBorder="1" applyAlignment="1">
      <alignment horizontal="center"/>
    </xf>
    <xf numFmtId="166" fontId="18" fillId="8" borderId="1" xfId="3" applyNumberFormat="1" applyFont="1" applyFill="1" applyBorder="1" applyAlignment="1">
      <alignment horizontal="center"/>
    </xf>
    <xf numFmtId="166" fontId="18" fillId="8" borderId="1" xfId="3" applyNumberFormat="1" applyFont="1" applyFill="1" applyBorder="1" applyAlignment="1">
      <alignment horizontal="center" vertical="center"/>
    </xf>
    <xf numFmtId="166" fontId="18" fillId="8" borderId="9" xfId="3" applyNumberFormat="1" applyFont="1" applyFill="1" applyBorder="1" applyAlignment="1">
      <alignment horizontal="center" vertical="center"/>
    </xf>
    <xf numFmtId="0" fontId="18" fillId="4" borderId="7" xfId="2" applyFont="1" applyFill="1" applyBorder="1"/>
    <xf numFmtId="0" fontId="9" fillId="4" borderId="1" xfId="2" applyFont="1" applyFill="1" applyBorder="1" applyAlignment="1">
      <alignment horizontal="center"/>
    </xf>
    <xf numFmtId="166" fontId="9" fillId="4" borderId="1" xfId="3" applyNumberFormat="1" applyFont="1" applyFill="1" applyBorder="1" applyAlignment="1">
      <alignment horizontal="center"/>
    </xf>
    <xf numFmtId="166" fontId="18" fillId="4" borderId="1" xfId="3" applyNumberFormat="1" applyFont="1" applyFill="1" applyBorder="1" applyAlignment="1">
      <alignment horizontal="center"/>
    </xf>
    <xf numFmtId="166" fontId="9" fillId="4" borderId="1" xfId="3" applyNumberFormat="1" applyFont="1" applyFill="1" applyBorder="1" applyAlignment="1">
      <alignment horizontal="center" vertical="center"/>
    </xf>
    <xf numFmtId="166" fontId="18" fillId="4" borderId="1" xfId="3" applyNumberFormat="1" applyFont="1" applyFill="1" applyBorder="1" applyAlignment="1">
      <alignment horizontal="center" vertical="center"/>
    </xf>
    <xf numFmtId="166" fontId="18" fillId="4" borderId="9" xfId="3" applyNumberFormat="1" applyFont="1" applyFill="1" applyBorder="1" applyAlignment="1">
      <alignment horizontal="center" vertical="center"/>
    </xf>
    <xf numFmtId="0" fontId="9" fillId="0" borderId="7" xfId="2" applyFont="1" applyFill="1" applyBorder="1"/>
    <xf numFmtId="0" fontId="9" fillId="0" borderId="1" xfId="2" applyFont="1" applyBorder="1" applyAlignment="1">
      <alignment horizontal="center"/>
    </xf>
    <xf numFmtId="166" fontId="9" fillId="0" borderId="1" xfId="3" applyNumberFormat="1" applyFont="1" applyBorder="1" applyAlignment="1">
      <alignment horizontal="center"/>
    </xf>
    <xf numFmtId="166" fontId="9" fillId="0" borderId="1" xfId="3" applyNumberFormat="1" applyFont="1" applyFill="1" applyBorder="1" applyAlignment="1">
      <alignment horizontal="center"/>
    </xf>
    <xf numFmtId="166" fontId="9" fillId="0" borderId="1" xfId="3" applyNumberFormat="1" applyFont="1" applyBorder="1" applyAlignment="1">
      <alignment horizontal="center" vertical="center"/>
    </xf>
    <xf numFmtId="166" fontId="9" fillId="0" borderId="1" xfId="3" applyNumberFormat="1" applyFont="1" applyFill="1" applyBorder="1" applyAlignment="1">
      <alignment horizontal="center" vertical="center"/>
    </xf>
    <xf numFmtId="166" fontId="9" fillId="6" borderId="9" xfId="3" applyNumberFormat="1" applyFont="1" applyFill="1" applyBorder="1" applyAlignment="1">
      <alignment horizontal="center" vertical="center"/>
    </xf>
    <xf numFmtId="166" fontId="14" fillId="0" borderId="0" xfId="3" applyNumberFormat="1" applyFont="1"/>
    <xf numFmtId="167" fontId="9" fillId="0" borderId="1" xfId="3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/>
    </xf>
    <xf numFmtId="166" fontId="9" fillId="11" borderId="1" xfId="3" applyNumberFormat="1" applyFont="1" applyFill="1" applyBorder="1" applyAlignment="1">
      <alignment horizontal="center" vertical="center"/>
    </xf>
    <xf numFmtId="166" fontId="9" fillId="0" borderId="9" xfId="3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6" borderId="1" xfId="2" applyFont="1" applyFill="1" applyBorder="1" applyAlignment="1">
      <alignment horizontal="center"/>
    </xf>
    <xf numFmtId="166" fontId="9" fillId="6" borderId="1" xfId="3" applyNumberFormat="1" applyFont="1" applyFill="1" applyBorder="1" applyAlignment="1">
      <alignment horizontal="center"/>
    </xf>
    <xf numFmtId="166" fontId="9" fillId="6" borderId="1" xfId="3" applyNumberFormat="1" applyFont="1" applyFill="1" applyBorder="1" applyAlignment="1">
      <alignment horizontal="center" vertical="center"/>
    </xf>
    <xf numFmtId="166" fontId="18" fillId="0" borderId="1" xfId="3" applyNumberFormat="1" applyFont="1" applyFill="1" applyBorder="1" applyAlignment="1">
      <alignment horizontal="center"/>
    </xf>
    <xf numFmtId="166" fontId="18" fillId="0" borderId="1" xfId="3" applyNumberFormat="1" applyFont="1" applyFill="1" applyBorder="1" applyAlignment="1">
      <alignment horizontal="center" vertical="center"/>
    </xf>
    <xf numFmtId="166" fontId="9" fillId="0" borderId="9" xfId="3" applyNumberFormat="1" applyFont="1" applyFill="1" applyBorder="1" applyAlignment="1">
      <alignment horizontal="center" vertical="center"/>
    </xf>
    <xf numFmtId="166" fontId="14" fillId="6" borderId="0" xfId="0" applyNumberFormat="1" applyFont="1" applyFill="1"/>
    <xf numFmtId="166" fontId="18" fillId="0" borderId="9" xfId="3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vertical="center" wrapText="1"/>
    </xf>
    <xf numFmtId="166" fontId="18" fillId="6" borderId="1" xfId="3" applyNumberFormat="1" applyFont="1" applyFill="1" applyBorder="1" applyAlignment="1">
      <alignment horizontal="center" vertical="center"/>
    </xf>
    <xf numFmtId="169" fontId="18" fillId="6" borderId="1" xfId="3" applyNumberFormat="1" applyFont="1" applyFill="1" applyBorder="1" applyAlignment="1">
      <alignment horizontal="center" vertical="center"/>
    </xf>
    <xf numFmtId="0" fontId="9" fillId="6" borderId="7" xfId="2" applyFont="1" applyFill="1" applyBorder="1"/>
    <xf numFmtId="166" fontId="18" fillId="0" borderId="1" xfId="3" applyNumberFormat="1" applyFont="1" applyBorder="1" applyAlignment="1">
      <alignment horizontal="center"/>
    </xf>
    <xf numFmtId="166" fontId="9" fillId="0" borderId="44" xfId="3" applyNumberFormat="1" applyFont="1" applyBorder="1" applyAlignment="1">
      <alignment horizontal="center" vertical="center"/>
    </xf>
    <xf numFmtId="166" fontId="9" fillId="0" borderId="38" xfId="3" applyNumberFormat="1" applyFont="1" applyBorder="1" applyAlignment="1">
      <alignment horizontal="center" vertical="center"/>
    </xf>
    <xf numFmtId="166" fontId="18" fillId="8" borderId="38" xfId="3" applyNumberFormat="1" applyFont="1" applyFill="1" applyBorder="1" applyAlignment="1">
      <alignment horizontal="center" vertical="center"/>
    </xf>
    <xf numFmtId="166" fontId="9" fillId="0" borderId="1" xfId="3" applyNumberFormat="1" applyFont="1" applyFill="1" applyBorder="1" applyAlignment="1">
      <alignment horizontal="right" vertical="center" wrapText="1"/>
    </xf>
    <xf numFmtId="166" fontId="9" fillId="0" borderId="1" xfId="3" applyNumberFormat="1" applyFont="1" applyBorder="1" applyAlignment="1">
      <alignment horizontal="right" vertical="center"/>
    </xf>
    <xf numFmtId="0" fontId="9" fillId="0" borderId="1" xfId="0" applyFont="1" applyBorder="1"/>
    <xf numFmtId="166" fontId="9" fillId="0" borderId="1" xfId="3" applyNumberFormat="1" applyFont="1" applyFill="1" applyBorder="1" applyAlignment="1">
      <alignment horizontal="right" vertical="center"/>
    </xf>
    <xf numFmtId="165" fontId="9" fillId="0" borderId="1" xfId="3" applyFont="1" applyBorder="1" applyAlignment="1">
      <alignment horizontal="right" vertical="center"/>
    </xf>
    <xf numFmtId="166" fontId="9" fillId="0" borderId="1" xfId="3" applyNumberFormat="1" applyFont="1" applyFill="1" applyBorder="1" applyAlignment="1">
      <alignment vertical="center"/>
    </xf>
    <xf numFmtId="0" fontId="9" fillId="8" borderId="1" xfId="2" applyFont="1" applyFill="1" applyBorder="1" applyAlignment="1">
      <alignment horizontal="center"/>
    </xf>
    <xf numFmtId="166" fontId="9" fillId="8" borderId="1" xfId="3" applyNumberFormat="1" applyFont="1" applyFill="1" applyBorder="1" applyAlignment="1">
      <alignment horizontal="center"/>
    </xf>
    <xf numFmtId="166" fontId="18" fillId="6" borderId="38" xfId="3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38" xfId="2" applyFont="1" applyFill="1" applyBorder="1" applyAlignment="1">
      <alignment horizontal="center" vertical="center" wrapText="1"/>
    </xf>
    <xf numFmtId="166" fontId="9" fillId="6" borderId="38" xfId="3" applyNumberFormat="1" applyFont="1" applyFill="1" applyBorder="1" applyAlignment="1">
      <alignment horizontal="center" vertical="center"/>
    </xf>
    <xf numFmtId="166" fontId="18" fillId="4" borderId="38" xfId="3" applyNumberFormat="1" applyFont="1" applyFill="1" applyBorder="1" applyAlignment="1">
      <alignment horizontal="center" vertical="center"/>
    </xf>
    <xf numFmtId="0" fontId="18" fillId="6" borderId="7" xfId="2" applyFont="1" applyFill="1" applyBorder="1"/>
    <xf numFmtId="0" fontId="19" fillId="0" borderId="0" xfId="0" applyFont="1"/>
    <xf numFmtId="166" fontId="9" fillId="6" borderId="1" xfId="3" applyNumberFormat="1" applyFont="1" applyFill="1" applyBorder="1" applyAlignment="1">
      <alignment horizontal="right" vertical="center" wrapText="1"/>
    </xf>
    <xf numFmtId="166" fontId="9" fillId="6" borderId="1" xfId="3" applyNumberFormat="1" applyFont="1" applyFill="1" applyBorder="1" applyAlignment="1">
      <alignment horizontal="right" vertical="center"/>
    </xf>
    <xf numFmtId="0" fontId="9" fillId="6" borderId="1" xfId="0" applyFont="1" applyFill="1" applyBorder="1"/>
    <xf numFmtId="166" fontId="9" fillId="8" borderId="1" xfId="3" applyNumberFormat="1" applyFont="1" applyFill="1" applyBorder="1" applyAlignment="1">
      <alignment horizontal="center" vertical="center"/>
    </xf>
    <xf numFmtId="0" fontId="9" fillId="4" borderId="7" xfId="2" applyFont="1" applyFill="1" applyBorder="1"/>
    <xf numFmtId="166" fontId="9" fillId="4" borderId="38" xfId="3" applyNumberFormat="1" applyFont="1" applyFill="1" applyBorder="1" applyAlignment="1">
      <alignment horizontal="center" vertical="center"/>
    </xf>
    <xf numFmtId="0" fontId="18" fillId="12" borderId="7" xfId="2" applyFont="1" applyFill="1" applyBorder="1"/>
    <xf numFmtId="0" fontId="9" fillId="12" borderId="1" xfId="2" applyFont="1" applyFill="1" applyBorder="1" applyAlignment="1">
      <alignment horizontal="center"/>
    </xf>
    <xf numFmtId="166" fontId="9" fillId="12" borderId="1" xfId="3" applyNumberFormat="1" applyFont="1" applyFill="1" applyBorder="1" applyAlignment="1">
      <alignment horizontal="center"/>
    </xf>
    <xf numFmtId="166" fontId="9" fillId="12" borderId="1" xfId="3" applyNumberFormat="1" applyFont="1" applyFill="1" applyBorder="1" applyAlignment="1">
      <alignment horizontal="center" vertical="center"/>
    </xf>
    <xf numFmtId="166" fontId="18" fillId="12" borderId="1" xfId="3" applyNumberFormat="1" applyFont="1" applyFill="1" applyBorder="1" applyAlignment="1">
      <alignment horizontal="center" vertical="center"/>
    </xf>
    <xf numFmtId="166" fontId="18" fillId="12" borderId="1" xfId="3" applyNumberFormat="1" applyFont="1" applyFill="1" applyBorder="1" applyAlignment="1">
      <alignment horizontal="center"/>
    </xf>
    <xf numFmtId="0" fontId="18" fillId="0" borderId="7" xfId="2" applyFont="1" applyFill="1" applyBorder="1"/>
    <xf numFmtId="166" fontId="9" fillId="0" borderId="38" xfId="3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166" fontId="14" fillId="0" borderId="0" xfId="0" applyNumberFormat="1" applyFont="1" applyFill="1" applyBorder="1"/>
    <xf numFmtId="0" fontId="18" fillId="2" borderId="7" xfId="2" applyFont="1" applyFill="1" applyBorder="1" applyAlignment="1">
      <alignment horizontal="left" vertical="center"/>
    </xf>
    <xf numFmtId="0" fontId="18" fillId="2" borderId="1" xfId="2" applyFont="1" applyFill="1" applyBorder="1" applyAlignment="1">
      <alignment horizontal="center" vertical="center"/>
    </xf>
    <xf numFmtId="166" fontId="18" fillId="2" borderId="1" xfId="3" applyNumberFormat="1" applyFont="1" applyFill="1" applyBorder="1" applyAlignment="1">
      <alignment horizontal="center" vertical="center"/>
    </xf>
    <xf numFmtId="166" fontId="18" fillId="2" borderId="38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8" fillId="9" borderId="7" xfId="3" applyNumberFormat="1" applyFont="1" applyFill="1" applyBorder="1" applyAlignment="1">
      <alignment horizontal="left" vertical="center"/>
    </xf>
    <xf numFmtId="166" fontId="18" fillId="9" borderId="1" xfId="3" applyNumberFormat="1" applyFont="1" applyFill="1" applyBorder="1" applyAlignment="1">
      <alignment horizontal="center" vertical="center"/>
    </xf>
    <xf numFmtId="166" fontId="18" fillId="9" borderId="38" xfId="3" applyNumberFormat="1" applyFont="1" applyFill="1" applyBorder="1" applyAlignment="1">
      <alignment horizontal="center" vertical="center"/>
    </xf>
    <xf numFmtId="166" fontId="14" fillId="0" borderId="0" xfId="3" applyNumberFormat="1" applyFont="1" applyAlignment="1">
      <alignment horizontal="left" vertical="center"/>
    </xf>
    <xf numFmtId="166" fontId="9" fillId="0" borderId="10" xfId="3" applyNumberFormat="1" applyFont="1" applyBorder="1" applyAlignment="1">
      <alignment horizontal="center"/>
    </xf>
    <xf numFmtId="166" fontId="9" fillId="0" borderId="11" xfId="3" applyNumberFormat="1" applyFont="1" applyBorder="1"/>
    <xf numFmtId="9" fontId="9" fillId="0" borderId="11" xfId="4" applyFont="1" applyBorder="1"/>
    <xf numFmtId="9" fontId="9" fillId="0" borderId="22" xfId="4" applyFont="1" applyBorder="1"/>
    <xf numFmtId="166" fontId="9" fillId="0" borderId="0" xfId="3" applyNumberFormat="1" applyFont="1" applyAlignment="1">
      <alignment horizontal="center"/>
    </xf>
    <xf numFmtId="166" fontId="9" fillId="0" borderId="0" xfId="3" applyNumberFormat="1" applyFont="1"/>
    <xf numFmtId="9" fontId="9" fillId="0" borderId="0" xfId="4" applyFont="1"/>
    <xf numFmtId="3" fontId="9" fillId="0" borderId="0" xfId="4" applyNumberFormat="1" applyFont="1"/>
    <xf numFmtId="166" fontId="9" fillId="0" borderId="0" xfId="4" applyNumberFormat="1" applyFont="1"/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168" fontId="14" fillId="0" borderId="0" xfId="3" applyNumberFormat="1" applyFont="1" applyBorder="1"/>
    <xf numFmtId="4" fontId="14" fillId="0" borderId="0" xfId="1" applyNumberFormat="1" applyFont="1" applyBorder="1"/>
    <xf numFmtId="4" fontId="14" fillId="0" borderId="0" xfId="0" applyNumberFormat="1" applyFont="1"/>
    <xf numFmtId="168" fontId="14" fillId="0" borderId="0" xfId="1" applyNumberFormat="1" applyFont="1" applyBorder="1"/>
    <xf numFmtId="168" fontId="14" fillId="0" borderId="0" xfId="1" applyNumberFormat="1" applyFont="1"/>
    <xf numFmtId="4" fontId="14" fillId="0" borderId="0" xfId="1" applyNumberFormat="1" applyFont="1"/>
    <xf numFmtId="0" fontId="5" fillId="0" borderId="57" xfId="2" applyFont="1" applyFill="1" applyBorder="1" applyAlignment="1">
      <alignment horizontal="center" vertical="center" wrapText="1"/>
    </xf>
    <xf numFmtId="166" fontId="7" fillId="4" borderId="6" xfId="3" applyNumberFormat="1" applyFont="1" applyFill="1" applyBorder="1" applyAlignment="1">
      <alignment horizontal="center" vertical="center"/>
    </xf>
    <xf numFmtId="166" fontId="5" fillId="8" borderId="1" xfId="3" applyNumberFormat="1" applyFont="1" applyFill="1" applyBorder="1" applyAlignment="1">
      <alignment horizontal="center" vertical="center"/>
    </xf>
    <xf numFmtId="166" fontId="5" fillId="4" borderId="1" xfId="3" applyNumberFormat="1" applyFont="1" applyFill="1" applyBorder="1" applyAlignment="1">
      <alignment horizontal="center" vertical="center"/>
    </xf>
    <xf numFmtId="166" fontId="7" fillId="0" borderId="1" xfId="3" applyNumberFormat="1" applyFont="1" applyFill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166" fontId="7" fillId="6" borderId="1" xfId="3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166" fontId="7" fillId="4" borderId="1" xfId="3" applyNumberFormat="1" applyFont="1" applyFill="1" applyBorder="1" applyAlignment="1">
      <alignment horizontal="center" vertical="center"/>
    </xf>
    <xf numFmtId="166" fontId="7" fillId="12" borderId="1" xfId="3" applyNumberFormat="1" applyFont="1" applyFill="1" applyBorder="1" applyAlignment="1">
      <alignment horizontal="center"/>
    </xf>
    <xf numFmtId="166" fontId="5" fillId="12" borderId="1" xfId="3" applyNumberFormat="1" applyFont="1" applyFill="1" applyBorder="1" applyAlignment="1">
      <alignment horizontal="center"/>
    </xf>
    <xf numFmtId="166" fontId="7" fillId="6" borderId="1" xfId="3" applyNumberFormat="1" applyFont="1" applyFill="1" applyBorder="1" applyAlignment="1">
      <alignment horizontal="center"/>
    </xf>
    <xf numFmtId="166" fontId="5" fillId="4" borderId="1" xfId="3" applyNumberFormat="1" applyFont="1" applyFill="1" applyBorder="1" applyAlignment="1">
      <alignment horizontal="center"/>
    </xf>
    <xf numFmtId="166" fontId="5" fillId="6" borderId="1" xfId="3" applyNumberFormat="1" applyFont="1" applyFill="1" applyBorder="1" applyAlignment="1">
      <alignment horizontal="center"/>
    </xf>
    <xf numFmtId="166" fontId="7" fillId="4" borderId="1" xfId="3" applyNumberFormat="1" applyFont="1" applyFill="1" applyBorder="1" applyAlignment="1">
      <alignment horizontal="center"/>
    </xf>
    <xf numFmtId="4" fontId="22" fillId="0" borderId="0" xfId="0" applyNumberFormat="1" applyFont="1"/>
    <xf numFmtId="166" fontId="12" fillId="0" borderId="1" xfId="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0" borderId="0" xfId="2" applyFont="1" applyFill="1" applyBorder="1" applyAlignment="1">
      <alignment horizontal="center" vertical="center" wrapText="1"/>
    </xf>
    <xf numFmtId="0" fontId="5" fillId="3" borderId="78" xfId="2" applyFont="1" applyFill="1" applyBorder="1" applyAlignment="1">
      <alignment horizontal="center" vertical="center" wrapText="1"/>
    </xf>
    <xf numFmtId="0" fontId="5" fillId="3" borderId="80" xfId="2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4" fillId="0" borderId="79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7" fillId="0" borderId="64" xfId="2" applyFont="1" applyFill="1" applyBorder="1" applyAlignment="1">
      <alignment horizontal="center" vertical="center"/>
    </xf>
    <xf numFmtId="0" fontId="7" fillId="0" borderId="65" xfId="2" applyFont="1" applyFill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73" xfId="2" applyFont="1" applyFill="1" applyBorder="1" applyAlignment="1">
      <alignment horizontal="center" vertical="center" wrapText="1"/>
    </xf>
    <xf numFmtId="0" fontId="4" fillId="0" borderId="69" xfId="2" applyFont="1" applyFill="1" applyBorder="1" applyAlignment="1">
      <alignment horizontal="center" vertical="center" wrapText="1"/>
    </xf>
    <xf numFmtId="0" fontId="4" fillId="0" borderId="70" xfId="2" applyFont="1" applyFill="1" applyBorder="1" applyAlignment="1">
      <alignment horizontal="center" vertical="center" wrapText="1"/>
    </xf>
    <xf numFmtId="0" fontId="7" fillId="0" borderId="67" xfId="2" applyFont="1" applyFill="1" applyBorder="1" applyAlignment="1">
      <alignment horizontal="center" vertical="center"/>
    </xf>
    <xf numFmtId="0" fontId="7" fillId="0" borderId="68" xfId="2" applyFont="1" applyFill="1" applyBorder="1" applyAlignment="1">
      <alignment horizontal="center" vertical="center"/>
    </xf>
    <xf numFmtId="0" fontId="7" fillId="0" borderId="71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8" fillId="12" borderId="29" xfId="2" applyFont="1" applyFill="1" applyBorder="1" applyAlignment="1">
      <alignment horizontal="center" vertical="center" wrapText="1"/>
    </xf>
    <xf numFmtId="0" fontId="18" fillId="12" borderId="36" xfId="2" applyFont="1" applyFill="1" applyBorder="1" applyAlignment="1">
      <alignment horizontal="center" vertical="center" wrapText="1"/>
    </xf>
    <xf numFmtId="0" fontId="18" fillId="12" borderId="30" xfId="2" applyFont="1" applyFill="1" applyBorder="1" applyAlignment="1">
      <alignment horizontal="center" vertical="center" wrapText="1"/>
    </xf>
    <xf numFmtId="0" fontId="18" fillId="12" borderId="16" xfId="2" applyFont="1" applyFill="1" applyBorder="1" applyAlignment="1">
      <alignment horizontal="center" vertical="center" wrapText="1"/>
    </xf>
    <xf numFmtId="0" fontId="18" fillId="12" borderId="31" xfId="2" applyFont="1" applyFill="1" applyBorder="1" applyAlignment="1">
      <alignment horizontal="center" vertical="center" wrapText="1"/>
    </xf>
    <xf numFmtId="0" fontId="18" fillId="12" borderId="25" xfId="2" applyFont="1" applyFill="1" applyBorder="1" applyAlignment="1">
      <alignment horizontal="center" vertical="center" wrapText="1"/>
    </xf>
    <xf numFmtId="0" fontId="18" fillId="12" borderId="32" xfId="2" applyFont="1" applyFill="1" applyBorder="1" applyAlignment="1">
      <alignment horizontal="center" vertical="center" wrapText="1"/>
    </xf>
    <xf numFmtId="0" fontId="18" fillId="12" borderId="33" xfId="2" applyFont="1" applyFill="1" applyBorder="1" applyAlignment="1">
      <alignment horizontal="center" vertical="center" wrapText="1"/>
    </xf>
    <xf numFmtId="0" fontId="18" fillId="12" borderId="27" xfId="2" applyFont="1" applyFill="1" applyBorder="1" applyAlignment="1">
      <alignment horizontal="center" vertical="center" wrapText="1"/>
    </xf>
    <xf numFmtId="0" fontId="18" fillId="12" borderId="96" xfId="2" applyFont="1" applyFill="1" applyBorder="1" applyAlignment="1">
      <alignment horizontal="center" vertical="center" wrapText="1"/>
    </xf>
    <xf numFmtId="0" fontId="18" fillId="12" borderId="97" xfId="2" applyFont="1" applyFill="1" applyBorder="1" applyAlignment="1">
      <alignment horizontal="center" vertical="center" wrapText="1"/>
    </xf>
    <xf numFmtId="0" fontId="18" fillId="12" borderId="46" xfId="2" applyFont="1" applyFill="1" applyBorder="1" applyAlignment="1">
      <alignment horizontal="center" vertical="center" wrapText="1"/>
    </xf>
    <xf numFmtId="0" fontId="18" fillId="12" borderId="47" xfId="2" applyFont="1" applyFill="1" applyBorder="1" applyAlignment="1">
      <alignment horizontal="center" vertical="center" wrapText="1"/>
    </xf>
    <xf numFmtId="0" fontId="18" fillId="12" borderId="34" xfId="2" applyFont="1" applyFill="1" applyBorder="1" applyAlignment="1">
      <alignment horizontal="center" vertical="center" wrapText="1"/>
    </xf>
    <xf numFmtId="0" fontId="18" fillId="12" borderId="24" xfId="2" applyFont="1" applyFill="1" applyBorder="1" applyAlignment="1">
      <alignment horizontal="center" vertical="center" wrapText="1"/>
    </xf>
    <xf numFmtId="0" fontId="18" fillId="12" borderId="35" xfId="2" applyFont="1" applyFill="1" applyBorder="1" applyAlignment="1">
      <alignment horizontal="center" vertical="center" wrapText="1"/>
    </xf>
    <xf numFmtId="0" fontId="18" fillId="12" borderId="37" xfId="2" applyFont="1" applyFill="1" applyBorder="1" applyAlignment="1">
      <alignment horizontal="center" vertical="center" wrapText="1"/>
    </xf>
  </cellXfs>
  <cellStyles count="5">
    <cellStyle name="Millares" xfId="3" builtinId="3"/>
    <cellStyle name="Moneda" xfId="1" builtinId="4"/>
    <cellStyle name="Normal" xfId="0" builtinId="0"/>
    <cellStyle name="Porcentaje" xfId="4" builtinId="5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63877</xdr:colOff>
      <xdr:row>0</xdr:row>
      <xdr:rowOff>121025</xdr:rowOff>
    </xdr:from>
    <xdr:to>
      <xdr:col>0</xdr:col>
      <xdr:colOff>1673601</xdr:colOff>
      <xdr:row>0</xdr:row>
      <xdr:rowOff>619527</xdr:rowOff>
    </xdr:to>
    <xdr:pic>
      <xdr:nvPicPr>
        <xdr:cNvPr id="4" name="2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02" y="121025"/>
          <a:ext cx="1609724" cy="498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</xdr:rowOff>
    </xdr:from>
    <xdr:to>
      <xdr:col>0</xdr:col>
      <xdr:colOff>2143125</xdr:colOff>
      <xdr:row>2</xdr:row>
      <xdr:rowOff>18320</xdr:rowOff>
    </xdr:to>
    <xdr:pic>
      <xdr:nvPicPr>
        <xdr:cNvPr id="2" name="1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"/>
          <a:ext cx="2028824" cy="713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781050</xdr:colOff>
      <xdr:row>35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6117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235327</xdr:colOff>
      <xdr:row>0</xdr:row>
      <xdr:rowOff>44825</xdr:rowOff>
    </xdr:from>
    <xdr:to>
      <xdr:col>1</xdr:col>
      <xdr:colOff>1568826</xdr:colOff>
      <xdr:row>0</xdr:row>
      <xdr:rowOff>543327</xdr:rowOff>
    </xdr:to>
    <xdr:pic>
      <xdr:nvPicPr>
        <xdr:cNvPr id="2" name="2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7" y="44825"/>
          <a:ext cx="1609724" cy="498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ompartida/Inf%20Seguimiento%20a%20Convenios/Seguimiento%20Financiero%20a%20Convenios%202017/Convenios%20Vigentes%202017/Convenio%20Idiger%20345-2017/Informes/2018/Informe%20Febrero-18%20IDIGER%20345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INFORME GENERAL"/>
    </sheetNames>
    <sheetDataSet>
      <sheetData sheetId="0">
        <row r="64">
          <cell r="F64">
            <v>0</v>
          </cell>
        </row>
        <row r="69">
          <cell r="F69">
            <v>0</v>
          </cell>
        </row>
        <row r="77">
          <cell r="F77">
            <v>0</v>
          </cell>
        </row>
        <row r="78">
          <cell r="F78">
            <v>0</v>
          </cell>
        </row>
        <row r="80">
          <cell r="F80">
            <v>0</v>
          </cell>
        </row>
        <row r="83">
          <cell r="F8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4"/>
  <sheetViews>
    <sheetView view="pageBreakPreview" zoomScaleSheetLayoutView="100" workbookViewId="0">
      <selection activeCell="B4" sqref="B4"/>
    </sheetView>
  </sheetViews>
  <sheetFormatPr baseColWidth="10" defaultColWidth="9.140625" defaultRowHeight="15" x14ac:dyDescent="0.25"/>
  <cols>
    <col min="1" max="1" width="48.7109375" bestFit="1" customWidth="1"/>
    <col min="2" max="2" width="15.5703125" customWidth="1"/>
    <col min="3" max="3" width="15.5703125" bestFit="1" customWidth="1"/>
    <col min="4" max="4" width="17.85546875" customWidth="1"/>
    <col min="5" max="5" width="16.85546875" customWidth="1"/>
    <col min="6" max="6" width="17.85546875" customWidth="1"/>
    <col min="7" max="7" width="20.42578125" customWidth="1"/>
    <col min="8" max="8" width="23.140625" customWidth="1"/>
    <col min="9" max="18" width="19.140625" customWidth="1"/>
    <col min="19" max="19" width="17.7109375" customWidth="1"/>
    <col min="20" max="20" width="15" customWidth="1"/>
    <col min="21" max="21" width="3.5703125" customWidth="1"/>
    <col min="22" max="22" width="19.140625" bestFit="1" customWidth="1"/>
    <col min="23" max="25" width="18.5703125" customWidth="1"/>
    <col min="26" max="26" width="18" bestFit="1" customWidth="1"/>
    <col min="27" max="27" width="15.5703125" customWidth="1"/>
    <col min="28" max="28" width="13.140625" style="1" bestFit="1" customWidth="1"/>
  </cols>
  <sheetData>
    <row r="1" spans="1:52" s="2" customFormat="1" ht="70.5" customHeight="1" x14ac:dyDescent="0.25">
      <c r="A1" s="275" t="s">
        <v>207</v>
      </c>
      <c r="B1" s="275"/>
      <c r="C1" s="275"/>
      <c r="D1" s="275"/>
      <c r="E1" s="275"/>
      <c r="F1" s="275"/>
      <c r="G1" s="275"/>
      <c r="H1" s="27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52" s="2" customFormat="1" ht="15" customHeight="1" x14ac:dyDescent="0.25">
      <c r="A2" s="294" t="s">
        <v>229</v>
      </c>
      <c r="B2" s="294"/>
      <c r="C2" s="294"/>
      <c r="D2" s="294"/>
      <c r="E2" s="294"/>
      <c r="F2" s="294"/>
      <c r="G2" s="294"/>
      <c r="H2" s="294"/>
      <c r="I2" s="11"/>
      <c r="J2" s="51"/>
      <c r="K2" s="52"/>
      <c r="L2" s="51"/>
      <c r="M2" s="51"/>
      <c r="N2" s="51"/>
      <c r="O2" s="50"/>
      <c r="P2" s="52"/>
      <c r="Q2" s="51"/>
      <c r="R2" s="51"/>
      <c r="S2" s="11"/>
      <c r="T2" s="11"/>
      <c r="U2" s="11"/>
      <c r="V2" s="10"/>
      <c r="W2" s="10"/>
      <c r="X2" s="10"/>
      <c r="Y2" s="10"/>
      <c r="Z2" s="10"/>
      <c r="AA2" s="10"/>
      <c r="AB2" s="10"/>
      <c r="AC2" s="10"/>
    </row>
    <row r="3" spans="1:52" s="2" customFormat="1" ht="6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0"/>
      <c r="AC3" s="10"/>
    </row>
    <row r="4" spans="1:52" s="2" customFormat="1" ht="15" customHeight="1" thickBot="1" x14ac:dyDescent="0.3">
      <c r="A4" s="19" t="s">
        <v>91</v>
      </c>
      <c r="B4" s="20">
        <f>+'DETALLE MARZO'!B5</f>
        <v>43554</v>
      </c>
      <c r="C4" s="10"/>
      <c r="D4" s="10"/>
      <c r="E4" s="11"/>
      <c r="F4" s="11"/>
      <c r="G4" s="11"/>
      <c r="H4" s="11"/>
      <c r="I4" s="11"/>
      <c r="J4" s="51"/>
      <c r="K4" s="52"/>
      <c r="L4" s="51"/>
      <c r="M4" s="51"/>
      <c r="N4" s="51"/>
      <c r="O4" s="50"/>
      <c r="P4" s="52"/>
      <c r="Q4" s="51"/>
      <c r="R4" s="51"/>
      <c r="S4" s="11"/>
      <c r="T4" s="11"/>
      <c r="U4" s="11"/>
      <c r="V4" s="10"/>
      <c r="W4" s="10"/>
      <c r="X4" s="10"/>
      <c r="Y4" s="10"/>
      <c r="Z4" s="10"/>
      <c r="AA4" s="10"/>
      <c r="AB4" s="10"/>
      <c r="AC4" s="10"/>
    </row>
    <row r="5" spans="1:52" s="2" customFormat="1" ht="15" customHeight="1" thickBot="1" x14ac:dyDescent="0.3">
      <c r="A5" s="21" t="s">
        <v>10</v>
      </c>
      <c r="B5" s="22">
        <f>+'DETALLE MARZO'!B6</f>
        <v>43405</v>
      </c>
      <c r="C5" s="11"/>
      <c r="D5" s="34" t="s">
        <v>67</v>
      </c>
      <c r="E5" s="11"/>
      <c r="F5" s="11"/>
      <c r="G5" s="11"/>
      <c r="H5" s="11"/>
      <c r="I5" s="11"/>
      <c r="J5" s="51"/>
      <c r="K5" s="52"/>
      <c r="L5" s="51"/>
      <c r="M5" s="51"/>
      <c r="N5" s="51"/>
      <c r="O5" s="50"/>
      <c r="P5" s="52"/>
      <c r="Q5" s="51"/>
      <c r="R5" s="51"/>
      <c r="S5" s="11"/>
      <c r="T5" s="11"/>
      <c r="U5" s="11"/>
      <c r="V5" s="11"/>
      <c r="W5" s="11"/>
      <c r="X5" s="11"/>
      <c r="Y5" s="11"/>
      <c r="Z5" s="11"/>
      <c r="AA5" s="11"/>
      <c r="AB5" s="11"/>
      <c r="AC5" s="9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s="2" customFormat="1" ht="15.75" customHeight="1" thickBot="1" x14ac:dyDescent="0.3">
      <c r="A6" s="23" t="s">
        <v>11</v>
      </c>
      <c r="B6" s="24">
        <f>+'DETALLE MARZO'!B7</f>
        <v>43769</v>
      </c>
      <c r="C6" s="11"/>
      <c r="E6" s="11"/>
      <c r="F6" s="11"/>
      <c r="G6" s="11"/>
      <c r="H6" s="11"/>
      <c r="I6" s="11"/>
      <c r="J6" s="51"/>
      <c r="K6" s="52"/>
      <c r="L6" s="51"/>
      <c r="M6" s="51"/>
      <c r="N6" s="51"/>
      <c r="O6" s="50"/>
      <c r="P6" s="52"/>
      <c r="Q6" s="51"/>
      <c r="R6" s="51"/>
      <c r="S6" s="11"/>
      <c r="T6" s="11"/>
      <c r="U6" s="11"/>
      <c r="V6" s="11"/>
      <c r="W6" s="11"/>
      <c r="X6" s="11"/>
      <c r="Y6" s="11"/>
      <c r="Z6" s="11"/>
      <c r="AA6" s="11"/>
      <c r="AB6" s="11"/>
      <c r="AC6" s="9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s="2" customFormat="1" ht="15.75" customHeight="1" x14ac:dyDescent="0.25">
      <c r="A7" s="25" t="s">
        <v>65</v>
      </c>
      <c r="B7" s="26">
        <f>+'DETALLE MARZO'!B9</f>
        <v>5061050262</v>
      </c>
      <c r="C7" s="95"/>
      <c r="D7" s="286" t="s">
        <v>64</v>
      </c>
      <c r="E7" s="287"/>
      <c r="F7" s="46" t="s">
        <v>78</v>
      </c>
      <c r="G7" s="47" t="s">
        <v>77</v>
      </c>
      <c r="H7" s="48" t="s">
        <v>92</v>
      </c>
      <c r="I7" s="11"/>
      <c r="J7" s="51"/>
      <c r="K7" s="52"/>
      <c r="L7" s="51"/>
      <c r="M7" s="51"/>
      <c r="N7" s="51"/>
      <c r="O7" s="50"/>
      <c r="P7" s="52"/>
      <c r="Q7" s="51"/>
      <c r="R7" s="5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2" customFormat="1" ht="15.75" customHeight="1" x14ac:dyDescent="0.25">
      <c r="A8" s="21" t="s">
        <v>66</v>
      </c>
      <c r="B8" s="27">
        <f>+'DETALLE MARZO'!B10</f>
        <v>252150000</v>
      </c>
      <c r="C8" s="15"/>
      <c r="D8" s="282" t="s">
        <v>148</v>
      </c>
      <c r="E8" s="283"/>
      <c r="F8" s="42">
        <v>784462791</v>
      </c>
      <c r="G8" s="43">
        <v>1870</v>
      </c>
      <c r="H8" s="49">
        <v>43461</v>
      </c>
      <c r="I8" s="15"/>
      <c r="J8" s="51"/>
      <c r="K8" s="52"/>
      <c r="L8" s="51"/>
      <c r="M8" s="51"/>
      <c r="N8" s="51"/>
      <c r="O8" s="50"/>
      <c r="P8" s="52"/>
      <c r="Q8" s="51"/>
      <c r="R8" s="51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2" customFormat="1" ht="15.75" customHeight="1" x14ac:dyDescent="0.25">
      <c r="A9" s="21" t="s">
        <v>54</v>
      </c>
      <c r="B9" s="28">
        <v>0</v>
      </c>
      <c r="C9" s="11"/>
      <c r="D9" s="284" t="s">
        <v>149</v>
      </c>
      <c r="E9" s="285"/>
      <c r="F9" s="16">
        <v>2758272393</v>
      </c>
      <c r="G9" s="17">
        <v>1884</v>
      </c>
      <c r="H9" s="93">
        <v>43543</v>
      </c>
      <c r="I9" s="11"/>
      <c r="J9" s="51"/>
      <c r="K9" s="52"/>
      <c r="L9" s="51"/>
      <c r="M9" s="51"/>
      <c r="N9" s="51"/>
      <c r="O9" s="50"/>
      <c r="P9" s="52"/>
      <c r="Q9" s="51"/>
      <c r="R9" s="5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2" customFormat="1" ht="15.75" customHeight="1" x14ac:dyDescent="0.25">
      <c r="A10" s="29" t="s">
        <v>55</v>
      </c>
      <c r="B10" s="30">
        <f>+B7+B8+B9</f>
        <v>5313200262</v>
      </c>
      <c r="C10" s="15"/>
      <c r="D10" s="284" t="s">
        <v>150</v>
      </c>
      <c r="E10" s="285"/>
      <c r="F10" s="16"/>
      <c r="G10" s="17"/>
      <c r="H10" s="35"/>
      <c r="I10" s="11"/>
      <c r="J10" s="51"/>
      <c r="K10" s="52"/>
      <c r="L10" s="51"/>
      <c r="M10" s="51"/>
      <c r="N10" s="51"/>
      <c r="O10" s="50"/>
      <c r="P10" s="52"/>
      <c r="Q10" s="51"/>
      <c r="R10" s="5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2" customFormat="1" ht="15.75" customHeight="1" thickBot="1" x14ac:dyDescent="0.3">
      <c r="A11" s="21" t="s">
        <v>68</v>
      </c>
      <c r="B11" s="27">
        <f>+'DETALLE MARZO'!B13</f>
        <v>549603455</v>
      </c>
      <c r="C11" s="15"/>
      <c r="D11" s="290"/>
      <c r="E11" s="291"/>
      <c r="F11" s="39"/>
      <c r="G11" s="40"/>
      <c r="H11" s="41"/>
      <c r="I11" s="11"/>
      <c r="J11" s="51"/>
      <c r="K11" s="52"/>
      <c r="L11" s="51"/>
      <c r="M11" s="51"/>
      <c r="N11" s="51"/>
      <c r="O11" s="50"/>
      <c r="P11" s="52"/>
      <c r="Q11" s="51"/>
      <c r="R11" s="5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2" customFormat="1" ht="15.75" customHeight="1" x14ac:dyDescent="0.25">
      <c r="A12" s="21" t="s">
        <v>69</v>
      </c>
      <c r="B12" s="27">
        <f>+'DETALLE MARZO'!B14</f>
        <v>841486313</v>
      </c>
      <c r="C12" s="15"/>
      <c r="D12" s="288" t="s">
        <v>73</v>
      </c>
      <c r="E12" s="289"/>
      <c r="F12" s="256" t="s">
        <v>78</v>
      </c>
      <c r="G12" s="45" t="s">
        <v>77</v>
      </c>
      <c r="H12" s="48" t="s">
        <v>92</v>
      </c>
      <c r="I12" s="15"/>
      <c r="J12" s="51"/>
      <c r="K12" s="52"/>
      <c r="L12" s="51"/>
      <c r="M12" s="51"/>
      <c r="N12" s="51"/>
      <c r="O12" s="50"/>
      <c r="P12" s="52"/>
      <c r="Q12" s="51"/>
      <c r="R12" s="51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s="2" customFormat="1" ht="15.75" customHeight="1" x14ac:dyDescent="0.25">
      <c r="A13" s="21" t="s">
        <v>56</v>
      </c>
      <c r="B13" s="28">
        <v>0</v>
      </c>
      <c r="C13" s="15"/>
      <c r="D13" s="282" t="s">
        <v>151</v>
      </c>
      <c r="E13" s="283"/>
      <c r="F13" s="42">
        <v>274801727</v>
      </c>
      <c r="G13" s="43">
        <v>1869</v>
      </c>
      <c r="H13" s="49">
        <v>43461</v>
      </c>
      <c r="I13" s="11"/>
      <c r="J13" s="51"/>
      <c r="K13" s="52"/>
      <c r="L13" s="51"/>
      <c r="M13" s="51"/>
      <c r="N13" s="51"/>
      <c r="O13" s="50"/>
      <c r="P13" s="52"/>
      <c r="Q13" s="51"/>
      <c r="R13" s="5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s="2" customFormat="1" ht="15.75" customHeight="1" x14ac:dyDescent="0.25">
      <c r="A14" s="29" t="s">
        <v>57</v>
      </c>
      <c r="B14" s="30">
        <f>+B11+B12+B13</f>
        <v>1391089768</v>
      </c>
      <c r="C14" s="15"/>
      <c r="D14" s="284" t="s">
        <v>152</v>
      </c>
      <c r="E14" s="285"/>
      <c r="F14" s="16">
        <v>109920691</v>
      </c>
      <c r="G14" s="17">
        <v>1885</v>
      </c>
      <c r="H14" s="93">
        <v>43543</v>
      </c>
      <c r="I14" s="11"/>
      <c r="J14" s="51"/>
      <c r="K14" s="52"/>
      <c r="L14" s="51"/>
      <c r="M14" s="51"/>
      <c r="N14" s="51"/>
      <c r="O14" s="50"/>
      <c r="P14" s="52"/>
      <c r="Q14" s="51"/>
      <c r="R14" s="5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s="2" customFormat="1" ht="15.75" customHeight="1" x14ac:dyDescent="0.25">
      <c r="A15" s="21" t="s">
        <v>70</v>
      </c>
      <c r="B15" s="27">
        <f>+'DETALLE MARZO'!B17</f>
        <v>87410000</v>
      </c>
      <c r="C15" s="15"/>
      <c r="D15" s="284" t="s">
        <v>150</v>
      </c>
      <c r="E15" s="285"/>
      <c r="F15" s="16"/>
      <c r="G15" s="16"/>
      <c r="H15" s="35"/>
      <c r="I15" s="11"/>
      <c r="J15" s="51"/>
      <c r="K15" s="52"/>
      <c r="L15" s="51"/>
      <c r="M15" s="51"/>
      <c r="N15" s="51"/>
      <c r="O15" s="50"/>
      <c r="P15" s="52"/>
      <c r="Q15" s="51"/>
      <c r="R15" s="5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s="2" customFormat="1" ht="15.75" customHeight="1" thickBot="1" x14ac:dyDescent="0.3">
      <c r="A16" s="21" t="s">
        <v>71</v>
      </c>
      <c r="B16" s="27">
        <f>+'DETALLE MARZO'!B18</f>
        <v>2750081597</v>
      </c>
      <c r="C16" s="15"/>
      <c r="D16" s="292"/>
      <c r="E16" s="293"/>
      <c r="F16" s="36"/>
      <c r="G16" s="37"/>
      <c r="H16" s="38"/>
      <c r="I16" s="15"/>
      <c r="J16" s="51"/>
      <c r="K16" s="52"/>
      <c r="L16" s="51"/>
      <c r="M16" s="51"/>
      <c r="N16" s="51"/>
      <c r="O16" s="50"/>
      <c r="P16" s="52"/>
      <c r="Q16" s="51"/>
      <c r="R16" s="51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2" customFormat="1" ht="15.75" customHeight="1" x14ac:dyDescent="0.25">
      <c r="A17" s="21" t="s">
        <v>58</v>
      </c>
      <c r="B17" s="28">
        <v>0</v>
      </c>
      <c r="C17" s="15"/>
      <c r="D17" s="11"/>
      <c r="E17" s="11"/>
      <c r="F17" s="11"/>
      <c r="G17" s="11"/>
      <c r="H17" s="11"/>
      <c r="I17" s="11"/>
      <c r="J17" s="51"/>
      <c r="K17" s="52"/>
      <c r="L17" s="51"/>
      <c r="M17" s="51"/>
      <c r="N17" s="51"/>
      <c r="O17" s="50"/>
      <c r="P17" s="52"/>
      <c r="Q17" s="51"/>
      <c r="R17" s="51"/>
      <c r="S17" s="11"/>
      <c r="T17" s="11"/>
      <c r="U17" s="11"/>
      <c r="V17" s="15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s="2" customFormat="1" ht="15.75" customHeight="1" x14ac:dyDescent="0.25">
      <c r="A18" s="31" t="s">
        <v>59</v>
      </c>
      <c r="B18" s="32">
        <f>+B15+B16+B17</f>
        <v>2837491597</v>
      </c>
      <c r="C18" s="15"/>
      <c r="D18" s="11"/>
      <c r="E18" s="11"/>
      <c r="F18" s="11"/>
      <c r="G18" s="11"/>
      <c r="H18" s="11"/>
      <c r="I18" s="11"/>
      <c r="J18" s="51"/>
      <c r="K18" s="52"/>
      <c r="L18" s="51"/>
      <c r="M18" s="51"/>
      <c r="N18" s="51"/>
      <c r="O18" s="50"/>
      <c r="P18" s="52"/>
      <c r="Q18" s="51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s="2" customFormat="1" ht="15.75" customHeight="1" thickBot="1" x14ac:dyDescent="0.3">
      <c r="A19" s="33" t="s">
        <v>60</v>
      </c>
      <c r="B19" s="90">
        <f>+B10+B14+B18</f>
        <v>9541781627</v>
      </c>
      <c r="C19" s="15"/>
      <c r="D19" s="11"/>
      <c r="E19" s="11"/>
      <c r="F19" s="11"/>
      <c r="G19" s="11"/>
      <c r="H19" s="11"/>
      <c r="I19" s="11"/>
      <c r="J19" s="51"/>
      <c r="K19" s="52"/>
      <c r="L19" s="51"/>
      <c r="M19" s="51"/>
      <c r="N19" s="51"/>
      <c r="O19" s="50"/>
      <c r="P19" s="52"/>
      <c r="Q19" s="51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s="2" customFormat="1" ht="5.25" customHeight="1" thickBot="1" x14ac:dyDescent="0.3">
      <c r="A2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5.75" customHeight="1" thickBot="1" x14ac:dyDescent="0.3">
      <c r="A21" s="276" t="s">
        <v>4</v>
      </c>
      <c r="B21" s="279" t="s">
        <v>228</v>
      </c>
      <c r="C21" s="280"/>
      <c r="D21" s="280"/>
      <c r="E21" s="280"/>
      <c r="F21" s="280"/>
      <c r="G21" s="280"/>
      <c r="H21" s="281"/>
      <c r="I21" s="4"/>
    </row>
    <row r="22" spans="1:52" ht="38.25" x14ac:dyDescent="0.25">
      <c r="A22" s="277"/>
      <c r="B22" s="12" t="s">
        <v>40</v>
      </c>
      <c r="C22" s="53" t="s">
        <v>41</v>
      </c>
      <c r="D22" s="55" t="s">
        <v>6</v>
      </c>
      <c r="E22" s="56" t="s">
        <v>8</v>
      </c>
      <c r="F22" s="56" t="s">
        <v>9</v>
      </c>
      <c r="G22" s="56" t="s">
        <v>104</v>
      </c>
      <c r="H22" s="57" t="s">
        <v>114</v>
      </c>
      <c r="I22" s="80"/>
    </row>
    <row r="23" spans="1:52" x14ac:dyDescent="0.25">
      <c r="A23" s="58" t="s">
        <v>106</v>
      </c>
      <c r="B23" s="79"/>
      <c r="C23" s="60"/>
      <c r="D23" s="61"/>
      <c r="E23" s="61"/>
      <c r="F23" s="62"/>
      <c r="G23" s="62"/>
      <c r="H23" s="86"/>
      <c r="I23" s="81"/>
    </row>
    <row r="24" spans="1:52" x14ac:dyDescent="0.25">
      <c r="A24" s="13" t="s">
        <v>31</v>
      </c>
      <c r="B24" s="63">
        <f>+'DETALLE MARZO'!E101</f>
        <v>892145000</v>
      </c>
      <c r="C24" s="63">
        <v>0</v>
      </c>
      <c r="D24" s="63">
        <f t="shared" ref="D24:D29" si="0">B24+C24</f>
        <v>892145000</v>
      </c>
      <c r="E24" s="63">
        <f>+'DETALLE MARZO'!O101</f>
        <v>839232500</v>
      </c>
      <c r="F24" s="64">
        <f t="shared" ref="F24:F29" si="1">D24-E24</f>
        <v>52912500</v>
      </c>
      <c r="G24" s="64">
        <f>+'DETALLE MARZO'!Y101</f>
        <v>175259130.25</v>
      </c>
      <c r="H24" s="76">
        <f>+E24-G24</f>
        <v>663973369.75</v>
      </c>
      <c r="I24" s="82"/>
    </row>
    <row r="25" spans="1:52" x14ac:dyDescent="0.25">
      <c r="A25" s="13" t="s">
        <v>62</v>
      </c>
      <c r="B25" s="63">
        <f>+'DETALLE MARZO'!E28</f>
        <v>2710800000</v>
      </c>
      <c r="C25" s="63">
        <v>0</v>
      </c>
      <c r="D25" s="63">
        <f t="shared" si="0"/>
        <v>2710800000</v>
      </c>
      <c r="E25" s="63">
        <f>+'DETALLE MARZO'!O27</f>
        <v>400665600</v>
      </c>
      <c r="F25" s="64">
        <f t="shared" si="1"/>
        <v>2310134400</v>
      </c>
      <c r="G25" s="64">
        <f>+'DETALLE MARZO'!Y28</f>
        <v>400665600</v>
      </c>
      <c r="H25" s="76">
        <f t="shared" ref="H25:H29" si="2">+E25-G25</f>
        <v>0</v>
      </c>
      <c r="I25" s="82"/>
    </row>
    <row r="26" spans="1:52" x14ac:dyDescent="0.25">
      <c r="A26" s="13" t="s">
        <v>63</v>
      </c>
      <c r="B26" s="63">
        <f>+'DETALLE MARZO'!E123</f>
        <v>417613251.13199997</v>
      </c>
      <c r="C26" s="63">
        <f>+'DETALLE MARZO'!F123</f>
        <v>252150000</v>
      </c>
      <c r="D26" s="63">
        <f t="shared" si="0"/>
        <v>669763251.13199997</v>
      </c>
      <c r="E26" s="63">
        <f>+'DETALLE MARZO'!O123</f>
        <v>177364000</v>
      </c>
      <c r="F26" s="64">
        <f t="shared" si="1"/>
        <v>492399251.13199997</v>
      </c>
      <c r="G26" s="64">
        <f>+'DETALLE MARZO'!Y123</f>
        <v>74948831.840000004</v>
      </c>
      <c r="H26" s="76">
        <f t="shared" si="2"/>
        <v>102415168.16</v>
      </c>
      <c r="I26" s="82"/>
    </row>
    <row r="27" spans="1:52" x14ac:dyDescent="0.25">
      <c r="A27" s="13" t="s">
        <v>27</v>
      </c>
      <c r="B27" s="63">
        <f>+'DETALLE MARZO'!E127</f>
        <v>924523896</v>
      </c>
      <c r="C27" s="63">
        <v>0</v>
      </c>
      <c r="D27" s="63">
        <f t="shared" si="0"/>
        <v>924523896</v>
      </c>
      <c r="E27" s="63">
        <f>+'DETALLE MARZO'!O127</f>
        <v>776523896</v>
      </c>
      <c r="F27" s="64">
        <f t="shared" si="1"/>
        <v>148000000</v>
      </c>
      <c r="G27" s="64">
        <f>+'DETALLE MARZO'!Y127</f>
        <v>209316953.39999998</v>
      </c>
      <c r="H27" s="76">
        <f t="shared" si="2"/>
        <v>567206942.60000002</v>
      </c>
      <c r="I27" s="82"/>
    </row>
    <row r="28" spans="1:52" x14ac:dyDescent="0.25">
      <c r="A28" s="13" t="s">
        <v>23</v>
      </c>
      <c r="B28" s="63">
        <f>+'DETALLE MARZO'!E130</f>
        <v>80348000</v>
      </c>
      <c r="C28" s="63">
        <v>0</v>
      </c>
      <c r="D28" s="63">
        <f t="shared" si="0"/>
        <v>80348000</v>
      </c>
      <c r="E28" s="63">
        <f>+'DETALLE MARZO'!O130</f>
        <v>80348000</v>
      </c>
      <c r="F28" s="64">
        <f t="shared" si="1"/>
        <v>0</v>
      </c>
      <c r="G28" s="64">
        <f>+'DETALLE MARZO'!Y130</f>
        <v>36995760</v>
      </c>
      <c r="H28" s="76">
        <f t="shared" si="2"/>
        <v>43352240</v>
      </c>
      <c r="I28" s="82"/>
    </row>
    <row r="29" spans="1:52" ht="15.75" thickBot="1" x14ac:dyDescent="0.3">
      <c r="A29" s="14" t="s">
        <v>15</v>
      </c>
      <c r="B29" s="63">
        <f>+'DETALLE MARZO'!E133+'DETALLE MARZO'!E207</f>
        <v>35620115</v>
      </c>
      <c r="C29" s="63">
        <v>0</v>
      </c>
      <c r="D29" s="63">
        <f t="shared" si="0"/>
        <v>35620115</v>
      </c>
      <c r="E29" s="63">
        <f>+'DETALLE MARZO'!O133</f>
        <v>6434431.1639999999</v>
      </c>
      <c r="F29" s="64">
        <f t="shared" si="1"/>
        <v>29185683.835999999</v>
      </c>
      <c r="G29" s="64">
        <f>+'DETALLE MARZO'!Y133</f>
        <v>6434431.1639999999</v>
      </c>
      <c r="H29" s="76">
        <f t="shared" si="2"/>
        <v>0</v>
      </c>
      <c r="I29" s="82"/>
    </row>
    <row r="30" spans="1:52" ht="16.5" thickTop="1" thickBot="1" x14ac:dyDescent="0.3">
      <c r="A30" s="65" t="s">
        <v>107</v>
      </c>
      <c r="B30" s="66">
        <f t="shared" ref="B30:E30" si="3">SUM(B24:B29)</f>
        <v>5061050262.132</v>
      </c>
      <c r="C30" s="66">
        <f>SUM(C24:C29)</f>
        <v>252150000</v>
      </c>
      <c r="D30" s="66">
        <f t="shared" si="3"/>
        <v>5313200262.132</v>
      </c>
      <c r="E30" s="66">
        <f t="shared" si="3"/>
        <v>2280568427.164</v>
      </c>
      <c r="F30" s="67">
        <f>SUM(F24:F29)</f>
        <v>3032631834.9679999</v>
      </c>
      <c r="G30" s="67">
        <f>SUM(G24:G29)</f>
        <v>903620706.65400004</v>
      </c>
      <c r="H30" s="87">
        <f>SUM(H24:H29)</f>
        <v>1376947720.51</v>
      </c>
      <c r="I30" s="83"/>
      <c r="J30" s="8"/>
    </row>
    <row r="31" spans="1:52" ht="15.75" thickTop="1" x14ac:dyDescent="0.25">
      <c r="A31" s="68"/>
      <c r="B31" s="69"/>
      <c r="C31" s="70"/>
      <c r="D31" s="70"/>
      <c r="E31" s="70"/>
      <c r="F31" s="71"/>
      <c r="G31" s="71"/>
      <c r="H31" s="88"/>
      <c r="I31" s="82"/>
    </row>
    <row r="32" spans="1:52" x14ac:dyDescent="0.25">
      <c r="A32" s="58" t="s">
        <v>108</v>
      </c>
      <c r="B32" s="79"/>
      <c r="C32" s="60"/>
      <c r="D32" s="61"/>
      <c r="E32" s="61"/>
      <c r="F32" s="62"/>
      <c r="G32" s="62"/>
      <c r="H32" s="86"/>
      <c r="I32" s="82"/>
    </row>
    <row r="33" spans="1:11" x14ac:dyDescent="0.25">
      <c r="A33" s="13" t="s">
        <v>31</v>
      </c>
      <c r="B33" s="63">
        <f>+'DETALLE MARZO'!H168</f>
        <v>140695000</v>
      </c>
      <c r="C33" s="63">
        <f>+'DETALLE MARZO'!I168</f>
        <v>0</v>
      </c>
      <c r="D33" s="63">
        <f t="shared" ref="D33:D38" si="4">B33+C33</f>
        <v>140695000</v>
      </c>
      <c r="E33" s="63">
        <f>+'DETALLE MARZO'!O168</f>
        <v>140695000</v>
      </c>
      <c r="F33" s="64">
        <f t="shared" ref="F33:F38" si="5">D33-E33</f>
        <v>0</v>
      </c>
      <c r="G33" s="64">
        <f>+'DETALLE MARZO'!Y168</f>
        <v>27934536.75</v>
      </c>
      <c r="H33" s="76">
        <f t="shared" ref="H33:H38" si="6">+E33-G33</f>
        <v>112760463.25</v>
      </c>
      <c r="I33" s="82"/>
    </row>
    <row r="34" spans="1:11" x14ac:dyDescent="0.25">
      <c r="A34" s="13" t="s">
        <v>62</v>
      </c>
      <c r="B34" s="63">
        <f>+'DETALLE MARZO'!H137</f>
        <v>176400000</v>
      </c>
      <c r="C34" s="63">
        <f>+'DETALLE MARZO'!I137</f>
        <v>0</v>
      </c>
      <c r="D34" s="63">
        <f t="shared" si="4"/>
        <v>176400000</v>
      </c>
      <c r="E34" s="63">
        <f>+'DETALLE MARZO'!O137</f>
        <v>25574400</v>
      </c>
      <c r="F34" s="64">
        <f t="shared" si="5"/>
        <v>150825600</v>
      </c>
      <c r="G34" s="64">
        <f>+'DETALLE MARZO'!Y137</f>
        <v>25574400</v>
      </c>
      <c r="H34" s="76">
        <f t="shared" si="6"/>
        <v>0</v>
      </c>
      <c r="I34" s="82"/>
    </row>
    <row r="35" spans="1:11" x14ac:dyDescent="0.25">
      <c r="A35" s="13" t="s">
        <v>63</v>
      </c>
      <c r="B35" s="63">
        <f>+'DETALLE MARZO'!H180</f>
        <v>184337500</v>
      </c>
      <c r="C35" s="63">
        <f>+'DETALLE MARZO'!I180</f>
        <v>691486313</v>
      </c>
      <c r="D35" s="63">
        <f t="shared" si="4"/>
        <v>875823813</v>
      </c>
      <c r="E35" s="63">
        <f>+'DETALLE MARZO'!O180</f>
        <v>195189768</v>
      </c>
      <c r="F35" s="64">
        <f t="shared" si="5"/>
        <v>680634045</v>
      </c>
      <c r="G35" s="64">
        <f>+'DETALLE MARZO'!Y180</f>
        <v>178972758.16</v>
      </c>
      <c r="H35" s="76">
        <f t="shared" si="6"/>
        <v>16217009.840000004</v>
      </c>
      <c r="I35" s="82"/>
    </row>
    <row r="36" spans="1:11" x14ac:dyDescent="0.25">
      <c r="A36" s="13" t="s">
        <v>27</v>
      </c>
      <c r="B36" s="63">
        <f>+'DETALLE MARZO'!H186</f>
        <v>47313455</v>
      </c>
      <c r="C36" s="63">
        <f>+'DETALLE MARZO'!I186</f>
        <v>150000000</v>
      </c>
      <c r="D36" s="63">
        <f t="shared" si="4"/>
        <v>197313455</v>
      </c>
      <c r="E36" s="63">
        <f>+'DETALLE MARZO'!O186</f>
        <v>52993455</v>
      </c>
      <c r="F36" s="64">
        <f t="shared" si="5"/>
        <v>144320000</v>
      </c>
      <c r="G36" s="64">
        <f>+'DETALLE MARZO'!Y186</f>
        <v>21040656.600000001</v>
      </c>
      <c r="H36" s="76">
        <f t="shared" si="6"/>
        <v>31952798.399999999</v>
      </c>
      <c r="I36" s="82"/>
    </row>
    <row r="37" spans="1:11" x14ac:dyDescent="0.25">
      <c r="A37" s="13" t="s">
        <v>23</v>
      </c>
      <c r="B37" s="63">
        <v>0</v>
      </c>
      <c r="C37" s="63">
        <v>0</v>
      </c>
      <c r="D37" s="63">
        <f t="shared" si="4"/>
        <v>0</v>
      </c>
      <c r="E37" s="63">
        <v>0</v>
      </c>
      <c r="F37" s="64">
        <f t="shared" si="5"/>
        <v>0</v>
      </c>
      <c r="G37" s="64">
        <v>0</v>
      </c>
      <c r="H37" s="76">
        <f t="shared" si="6"/>
        <v>0</v>
      </c>
      <c r="I37" s="82"/>
    </row>
    <row r="38" spans="1:11" ht="15.75" thickBot="1" x14ac:dyDescent="0.3">
      <c r="A38" s="14" t="s">
        <v>15</v>
      </c>
      <c r="B38" s="63">
        <f>+'DETALLE MARZO'!H188</f>
        <v>857500</v>
      </c>
      <c r="C38" s="63">
        <f>+'DETALLE MARZO'!I188</f>
        <v>0</v>
      </c>
      <c r="D38" s="63">
        <f t="shared" si="4"/>
        <v>857500</v>
      </c>
      <c r="E38" s="63">
        <f>+'DETALLE MARZO'!O188</f>
        <v>210420</v>
      </c>
      <c r="F38" s="64">
        <f t="shared" si="5"/>
        <v>647080</v>
      </c>
      <c r="G38" s="64">
        <f>+'DETALLE MARZO'!Y188</f>
        <v>210420</v>
      </c>
      <c r="H38" s="76">
        <f t="shared" si="6"/>
        <v>0</v>
      </c>
      <c r="I38" s="82"/>
    </row>
    <row r="39" spans="1:11" ht="16.5" thickTop="1" thickBot="1" x14ac:dyDescent="0.3">
      <c r="A39" s="65" t="s">
        <v>109</v>
      </c>
      <c r="B39" s="66">
        <f>SUM(B33:B38)</f>
        <v>549603455</v>
      </c>
      <c r="C39" s="66">
        <f>SUM(C33:C38)</f>
        <v>841486313</v>
      </c>
      <c r="D39" s="66">
        <f t="shared" ref="D39:H39" si="7">SUM(D33:D38)</f>
        <v>1391089768</v>
      </c>
      <c r="E39" s="66">
        <f>SUM(E33:E38)</f>
        <v>414663043</v>
      </c>
      <c r="F39" s="67">
        <f t="shared" si="7"/>
        <v>976426725</v>
      </c>
      <c r="G39" s="67">
        <f>SUM(G33:G38)</f>
        <v>253732771.50999999</v>
      </c>
      <c r="H39" s="87">
        <f t="shared" si="7"/>
        <v>160930271.49000001</v>
      </c>
      <c r="I39" s="82"/>
      <c r="K39" s="8"/>
    </row>
    <row r="40" spans="1:11" ht="15.75" thickTop="1" x14ac:dyDescent="0.25">
      <c r="A40" s="68"/>
      <c r="B40" s="69"/>
      <c r="C40" s="70"/>
      <c r="D40" s="70"/>
      <c r="E40" s="70"/>
      <c r="F40" s="71"/>
      <c r="G40" s="71"/>
      <c r="H40" s="88"/>
      <c r="I40" s="82"/>
    </row>
    <row r="41" spans="1:11" x14ac:dyDescent="0.25">
      <c r="A41" s="72" t="s">
        <v>105</v>
      </c>
      <c r="B41" s="59"/>
      <c r="C41" s="73"/>
      <c r="D41" s="74"/>
      <c r="E41" s="74"/>
      <c r="F41" s="75"/>
      <c r="G41" s="75"/>
      <c r="H41" s="89"/>
      <c r="I41" s="81"/>
    </row>
    <row r="42" spans="1:11" x14ac:dyDescent="0.25">
      <c r="A42" s="13" t="s">
        <v>31</v>
      </c>
      <c r="B42" s="63">
        <f>+'DETALLE MARZO'!K191</f>
        <v>81810000</v>
      </c>
      <c r="C42" s="63">
        <f>+'DETALLE MARZO'!L191</f>
        <v>0</v>
      </c>
      <c r="D42" s="63">
        <f t="shared" ref="D42:D47" si="8">B42+C42</f>
        <v>81810000</v>
      </c>
      <c r="E42" s="63">
        <f>+'DETALLE MARZO'!O191</f>
        <v>77265000</v>
      </c>
      <c r="F42" s="64">
        <f t="shared" ref="F42:F47" si="9">D42-E42</f>
        <v>4545000</v>
      </c>
      <c r="G42" s="64">
        <f>+'DETALLE MARZO'!Y191</f>
        <v>6868000</v>
      </c>
      <c r="H42" s="76">
        <f t="shared" ref="H42:H47" si="10">+E42-G42</f>
        <v>70397000</v>
      </c>
      <c r="I42" s="82"/>
    </row>
    <row r="43" spans="1:11" x14ac:dyDescent="0.25">
      <c r="A43" s="13" t="s">
        <v>62</v>
      </c>
      <c r="B43" s="63">
        <v>0</v>
      </c>
      <c r="C43" s="63">
        <v>0</v>
      </c>
      <c r="D43" s="63">
        <f t="shared" si="8"/>
        <v>0</v>
      </c>
      <c r="E43" s="63">
        <v>0</v>
      </c>
      <c r="F43" s="64">
        <f t="shared" si="9"/>
        <v>0</v>
      </c>
      <c r="G43" s="64">
        <v>0</v>
      </c>
      <c r="H43" s="76">
        <f t="shared" si="10"/>
        <v>0</v>
      </c>
      <c r="I43" s="82"/>
    </row>
    <row r="44" spans="1:11" x14ac:dyDescent="0.25">
      <c r="A44" s="13" t="s">
        <v>63</v>
      </c>
      <c r="B44" s="63">
        <f>+'DETALLE MARZO'!K202</f>
        <v>0</v>
      </c>
      <c r="C44" s="63">
        <f>+'DETALLE MARZO'!L202</f>
        <v>2900000</v>
      </c>
      <c r="D44" s="63">
        <f t="shared" si="8"/>
        <v>2900000</v>
      </c>
      <c r="E44" s="63">
        <f>+'DETALLE MARZO'!O202</f>
        <v>906216</v>
      </c>
      <c r="F44" s="64">
        <f t="shared" si="9"/>
        <v>1993784</v>
      </c>
      <c r="G44" s="64">
        <f>+'DETALLE MARZO'!Y202</f>
        <v>906216</v>
      </c>
      <c r="H44" s="76">
        <f t="shared" si="10"/>
        <v>0</v>
      </c>
      <c r="I44" s="82"/>
    </row>
    <row r="45" spans="1:11" x14ac:dyDescent="0.25">
      <c r="A45" s="13" t="s">
        <v>27</v>
      </c>
      <c r="B45" s="63">
        <v>0</v>
      </c>
      <c r="C45" s="63">
        <v>0</v>
      </c>
      <c r="D45" s="63">
        <f t="shared" si="8"/>
        <v>0</v>
      </c>
      <c r="E45" s="63">
        <v>0</v>
      </c>
      <c r="F45" s="64">
        <f t="shared" si="9"/>
        <v>0</v>
      </c>
      <c r="G45" s="64">
        <v>0</v>
      </c>
      <c r="H45" s="76">
        <f t="shared" si="10"/>
        <v>0</v>
      </c>
      <c r="I45" s="82"/>
    </row>
    <row r="46" spans="1:11" x14ac:dyDescent="0.25">
      <c r="A46" s="13" t="s">
        <v>23</v>
      </c>
      <c r="B46" s="63">
        <f>+'DETALLE MARZO'!I204</f>
        <v>0</v>
      </c>
      <c r="C46" s="63">
        <f>+'DETALLE MARZO'!L204</f>
        <v>34000000</v>
      </c>
      <c r="D46" s="63">
        <f t="shared" si="8"/>
        <v>34000000</v>
      </c>
      <c r="E46" s="63">
        <f>+'DETALLE MARZO'!O204</f>
        <v>20265062</v>
      </c>
      <c r="F46" s="64">
        <f t="shared" si="9"/>
        <v>13734938</v>
      </c>
      <c r="G46" s="64">
        <f>+'DETALLE MARZO'!Y204</f>
        <v>20265062</v>
      </c>
      <c r="H46" s="76">
        <f t="shared" si="10"/>
        <v>0</v>
      </c>
      <c r="I46" s="82"/>
    </row>
    <row r="47" spans="1:11" ht="15.75" thickBot="1" x14ac:dyDescent="0.3">
      <c r="A47" s="14" t="s">
        <v>15</v>
      </c>
      <c r="B47" s="63">
        <f>+'DETALLE MARZO'!K205</f>
        <v>5600000</v>
      </c>
      <c r="C47" s="63">
        <f>+'DETALLE MARZO'!L196+'DETALLE MARZO'!L198+'DETALLE MARZO'!L200</f>
        <v>2713181597</v>
      </c>
      <c r="D47" s="63">
        <f t="shared" si="8"/>
        <v>2718781597</v>
      </c>
      <c r="E47" s="63">
        <f>+'DETALLE MARZO'!O196+'DETALLE MARZO'!O198+'DETALLE MARZO'!O200+'DETALLE MARZO'!O205</f>
        <v>1316098176.0333333</v>
      </c>
      <c r="F47" s="64">
        <f t="shared" si="9"/>
        <v>1402683420.9666667</v>
      </c>
      <c r="G47" s="64">
        <f>+'DETALLE MARZO'!Y196+'DETALLE MARZO'!Y198+'DETALLE MARZO'!Y200+'DETALLE MARZO'!Y205</f>
        <v>1316098176.0333333</v>
      </c>
      <c r="H47" s="76">
        <f t="shared" si="10"/>
        <v>0</v>
      </c>
      <c r="I47" s="82"/>
    </row>
    <row r="48" spans="1:11" ht="16.5" thickTop="1" thickBot="1" x14ac:dyDescent="0.3">
      <c r="A48" s="65" t="s">
        <v>113</v>
      </c>
      <c r="B48" s="66">
        <f>SUM(B42:B47)</f>
        <v>87410000</v>
      </c>
      <c r="C48" s="66">
        <f>SUM(C42:C47)</f>
        <v>2750081597</v>
      </c>
      <c r="D48" s="66">
        <f t="shared" ref="D48" si="11">SUM(D42:D47)</f>
        <v>2837491597</v>
      </c>
      <c r="E48" s="66">
        <f>SUM(E42:E47)</f>
        <v>1414534454.0333333</v>
      </c>
      <c r="F48" s="67">
        <f>SUM(F42:F47)</f>
        <v>1422957142.9666667</v>
      </c>
      <c r="G48" s="67">
        <f>SUM(G42:G47)</f>
        <v>1344137454.0333333</v>
      </c>
      <c r="H48" s="87">
        <f>SUM(H42:H47)</f>
        <v>70397000</v>
      </c>
      <c r="I48" s="82"/>
    </row>
    <row r="49" spans="1:10" ht="16.5" thickTop="1" thickBot="1" x14ac:dyDescent="0.3">
      <c r="A49" s="77" t="s">
        <v>2</v>
      </c>
      <c r="B49" s="91">
        <f t="shared" ref="B49:H49" si="12">B30+B39+B48</f>
        <v>5698063717.132</v>
      </c>
      <c r="C49" s="91">
        <f t="shared" si="12"/>
        <v>3843717910</v>
      </c>
      <c r="D49" s="91">
        <f t="shared" si="12"/>
        <v>9541781627.132</v>
      </c>
      <c r="E49" s="91">
        <f t="shared" si="12"/>
        <v>4109765924.1973333</v>
      </c>
      <c r="F49" s="91">
        <f t="shared" si="12"/>
        <v>5432015702.9346666</v>
      </c>
      <c r="G49" s="91">
        <f>G30+G39+G48</f>
        <v>2501490932.1973333</v>
      </c>
      <c r="H49" s="92">
        <f t="shared" si="12"/>
        <v>1608274992</v>
      </c>
      <c r="I49" s="84"/>
      <c r="J49" s="8"/>
    </row>
    <row r="50" spans="1:10" x14ac:dyDescent="0.25">
      <c r="A50" s="278" t="s">
        <v>13</v>
      </c>
      <c r="B50" s="278"/>
      <c r="C50" s="278"/>
      <c r="D50" s="278"/>
      <c r="E50" s="78">
        <f>E49/$D$49</f>
        <v>0.43071263677961757</v>
      </c>
      <c r="F50" s="78">
        <f>F49/$D$49</f>
        <v>0.56928736322038243</v>
      </c>
      <c r="G50" s="78">
        <f>G49/$D$49</f>
        <v>0.26216182993376819</v>
      </c>
      <c r="H50" s="78">
        <f>H49/$D$49</f>
        <v>0.16855080684584936</v>
      </c>
      <c r="I50" s="85"/>
      <c r="J50" s="8"/>
    </row>
    <row r="51" spans="1:10" ht="6" customHeight="1" x14ac:dyDescent="0.25">
      <c r="A51" s="274"/>
      <c r="B51" s="274"/>
      <c r="C51" s="274"/>
      <c r="D51" s="274"/>
      <c r="E51" s="78"/>
      <c r="F51" s="78"/>
      <c r="G51" s="78"/>
      <c r="H51" s="78"/>
      <c r="I51" s="85"/>
      <c r="J51" s="8"/>
    </row>
    <row r="52" spans="1:10" x14ac:dyDescent="0.25">
      <c r="A52" t="s">
        <v>17</v>
      </c>
      <c r="E52" t="s">
        <v>16</v>
      </c>
      <c r="J52" s="8">
        <f>+E49+F49-D49</f>
        <v>0</v>
      </c>
    </row>
    <row r="54" spans="1:10" x14ac:dyDescent="0.25">
      <c r="A54" s="6"/>
      <c r="E54" s="6"/>
      <c r="F54" s="6"/>
    </row>
    <row r="55" spans="1:10" x14ac:dyDescent="0.25">
      <c r="A55" s="5" t="s">
        <v>201</v>
      </c>
      <c r="E55" s="5" t="s">
        <v>93</v>
      </c>
    </row>
    <row r="56" spans="1:10" x14ac:dyDescent="0.25">
      <c r="A56" t="s">
        <v>202</v>
      </c>
      <c r="E56" t="s">
        <v>199</v>
      </c>
    </row>
    <row r="57" spans="1:10" x14ac:dyDescent="0.25">
      <c r="A57" t="s">
        <v>203</v>
      </c>
      <c r="E57" t="s">
        <v>200</v>
      </c>
    </row>
    <row r="59" spans="1:10" x14ac:dyDescent="0.25">
      <c r="A59" t="s">
        <v>16</v>
      </c>
      <c r="E59" t="s">
        <v>7</v>
      </c>
      <c r="F59" s="8"/>
    </row>
    <row r="60" spans="1:10" ht="8.25" customHeight="1" x14ac:dyDescent="0.25"/>
    <row r="61" spans="1:10" x14ac:dyDescent="0.25">
      <c r="A61" s="6"/>
      <c r="E61" s="6"/>
      <c r="F61" s="6"/>
    </row>
    <row r="62" spans="1:10" x14ac:dyDescent="0.25">
      <c r="A62" s="5" t="s">
        <v>230</v>
      </c>
      <c r="E62" s="5" t="s">
        <v>18</v>
      </c>
    </row>
    <row r="63" spans="1:10" x14ac:dyDescent="0.25">
      <c r="A63" t="s">
        <v>153</v>
      </c>
      <c r="E63" t="s">
        <v>19</v>
      </c>
    </row>
    <row r="64" spans="1:10" x14ac:dyDescent="0.25">
      <c r="A64" t="s">
        <v>231</v>
      </c>
      <c r="E64" t="s">
        <v>112</v>
      </c>
    </row>
  </sheetData>
  <mergeCells count="15">
    <mergeCell ref="A1:H1"/>
    <mergeCell ref="A21:A22"/>
    <mergeCell ref="A50:D50"/>
    <mergeCell ref="B21:H21"/>
    <mergeCell ref="D8:E8"/>
    <mergeCell ref="D9:E9"/>
    <mergeCell ref="D7:E7"/>
    <mergeCell ref="D12:E12"/>
    <mergeCell ref="D13:E13"/>
    <mergeCell ref="D14:E14"/>
    <mergeCell ref="D11:E11"/>
    <mergeCell ref="D10:E10"/>
    <mergeCell ref="D16:E16"/>
    <mergeCell ref="D15:E15"/>
    <mergeCell ref="A2:H2"/>
  </mergeCells>
  <printOptions horizontalCentered="1" verticalCentered="1"/>
  <pageMargins left="0" right="0" top="0.74803149606299213" bottom="0.74803149606299213" header="0.31496062992125984" footer="0.31496062992125984"/>
  <pageSetup scale="45" orientation="landscape" r:id="rId1"/>
  <colBreaks count="1" manualBreakCount="1">
    <brk id="8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27"/>
  <sheetViews>
    <sheetView tabSelected="1" view="pageBreakPreview" topLeftCell="A24" zoomScale="85" zoomScaleNormal="85" zoomScaleSheetLayoutView="85" workbookViewId="0">
      <pane xSplit="1" ySplit="3" topLeftCell="R169" activePane="bottomRight" state="frozen"/>
      <selection activeCell="A24" sqref="A24"/>
      <selection pane="topRight" activeCell="B24" sqref="B24"/>
      <selection pane="bottomLeft" activeCell="A27" sqref="A27"/>
      <selection pane="bottomRight" activeCell="V193" sqref="V193"/>
    </sheetView>
  </sheetViews>
  <sheetFormatPr baseColWidth="10" defaultColWidth="9.140625" defaultRowHeight="15" x14ac:dyDescent="0.25"/>
  <cols>
    <col min="1" max="1" width="74.28515625" style="117" customWidth="1"/>
    <col min="2" max="2" width="14.85546875" style="117" customWidth="1"/>
    <col min="3" max="3" width="12.85546875" style="117" customWidth="1"/>
    <col min="4" max="4" width="14.42578125" style="117" customWidth="1"/>
    <col min="5" max="5" width="15.28515625" style="117" customWidth="1"/>
    <col min="6" max="6" width="15.42578125" style="117" customWidth="1"/>
    <col min="7" max="7" width="13.7109375" style="117" hidden="1" customWidth="1"/>
    <col min="8" max="8" width="18" style="117" customWidth="1"/>
    <col min="9" max="9" width="17.7109375" style="117" customWidth="1"/>
    <col min="10" max="10" width="13.28515625" style="117" hidden="1" customWidth="1"/>
    <col min="11" max="11" width="17.42578125" style="117" customWidth="1"/>
    <col min="12" max="12" width="17.85546875" style="117" customWidth="1"/>
    <col min="13" max="13" width="15.28515625" style="117" hidden="1" customWidth="1"/>
    <col min="14" max="14" width="17.42578125" style="117" customWidth="1"/>
    <col min="15" max="15" width="16.85546875" style="255" customWidth="1"/>
    <col min="16" max="16" width="15.28515625" style="255" customWidth="1"/>
    <col min="17" max="22" width="19.5703125" style="252" customWidth="1"/>
    <col min="23" max="23" width="12.42578125" style="252" customWidth="1"/>
    <col min="24" max="24" width="19.5703125" style="252" customWidth="1"/>
    <col min="25" max="25" width="15.42578125" style="252" customWidth="1"/>
    <col min="26" max="26" width="18.140625" style="117" customWidth="1"/>
    <col min="27" max="27" width="14.85546875" style="117" bestFit="1" customWidth="1"/>
    <col min="28" max="28" width="14.140625" style="117" bestFit="1" customWidth="1"/>
    <col min="29" max="29" width="14.5703125" style="117" bestFit="1" customWidth="1"/>
    <col min="30" max="30" width="13" style="117" bestFit="1" customWidth="1"/>
    <col min="31" max="31" width="11" style="117" bestFit="1" customWidth="1"/>
    <col min="32" max="16384" width="9.140625" style="117"/>
  </cols>
  <sheetData>
    <row r="1" spans="1:27" s="108" customFormat="1" ht="40.5" customHeight="1" x14ac:dyDescent="0.25">
      <c r="A1" s="295" t="s">
        <v>115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</row>
    <row r="2" spans="1:27" s="108" customFormat="1" ht="15" customHeight="1" x14ac:dyDescent="0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</row>
    <row r="3" spans="1:27" s="108" customFormat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P3" s="110"/>
      <c r="Q3" s="111"/>
      <c r="R3" s="111"/>
      <c r="S3" s="111"/>
      <c r="T3" s="111"/>
      <c r="U3" s="111"/>
      <c r="V3" s="111"/>
      <c r="W3" s="111"/>
      <c r="X3" s="111"/>
      <c r="Y3" s="111"/>
      <c r="Z3" s="109"/>
    </row>
    <row r="4" spans="1:27" s="108" customFormat="1" ht="15.75" thickBot="1" x14ac:dyDescent="0.3">
      <c r="A4" s="296" t="s">
        <v>233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</row>
    <row r="5" spans="1:27" s="108" customFormat="1" ht="14.25" customHeight="1" x14ac:dyDescent="0.25">
      <c r="A5" s="112" t="s">
        <v>91</v>
      </c>
      <c r="B5" s="113">
        <v>43554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1"/>
      <c r="R5" s="111"/>
      <c r="S5" s="111"/>
      <c r="T5" s="111"/>
      <c r="U5" s="111"/>
      <c r="V5" s="111"/>
      <c r="W5" s="111"/>
      <c r="X5" s="111"/>
      <c r="Y5" s="114"/>
      <c r="Z5" s="109"/>
    </row>
    <row r="6" spans="1:27" s="108" customFormat="1" ht="15" customHeight="1" x14ac:dyDescent="0.25">
      <c r="A6" s="115" t="s">
        <v>10</v>
      </c>
      <c r="B6" s="116">
        <v>43405</v>
      </c>
      <c r="C6" s="117"/>
      <c r="D6" s="117"/>
      <c r="E6" s="109"/>
      <c r="F6" s="11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s="108" customFormat="1" ht="15.75" customHeight="1" x14ac:dyDescent="0.25">
      <c r="A7" s="119" t="s">
        <v>11</v>
      </c>
      <c r="B7" s="120">
        <v>43769</v>
      </c>
      <c r="C7" s="117"/>
      <c r="D7" s="117"/>
      <c r="E7" s="109"/>
      <c r="F7" s="11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s="108" customFormat="1" ht="9.75" customHeight="1" x14ac:dyDescent="0.25">
      <c r="A8" s="121"/>
      <c r="B8" s="122"/>
      <c r="C8" s="117"/>
      <c r="D8" s="117"/>
      <c r="E8" s="109"/>
      <c r="F8" s="11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s="108" customFormat="1" ht="15.75" customHeight="1" x14ac:dyDescent="0.25">
      <c r="A9" s="123" t="s">
        <v>65</v>
      </c>
      <c r="B9" s="124">
        <v>5061050262</v>
      </c>
      <c r="C9" s="117"/>
      <c r="D9" s="11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s="108" customFormat="1" ht="15.75" customHeight="1" x14ac:dyDescent="0.25">
      <c r="A10" s="115" t="s">
        <v>66</v>
      </c>
      <c r="B10" s="125">
        <v>252150000</v>
      </c>
      <c r="C10" s="117"/>
      <c r="D10" s="11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s="108" customFormat="1" ht="15.75" customHeight="1" x14ac:dyDescent="0.25">
      <c r="A11" s="115" t="s">
        <v>54</v>
      </c>
      <c r="B11" s="125">
        <v>0</v>
      </c>
      <c r="C11" s="117"/>
      <c r="D11" s="11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s="108" customFormat="1" ht="15.75" customHeight="1" x14ac:dyDescent="0.25">
      <c r="A12" s="126" t="s">
        <v>55</v>
      </c>
      <c r="B12" s="127">
        <f>+B9+B10+B11</f>
        <v>5313200262</v>
      </c>
      <c r="C12" s="117"/>
      <c r="D12" s="11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s="108" customFormat="1" ht="15.75" customHeight="1" x14ac:dyDescent="0.25">
      <c r="A13" s="115" t="s">
        <v>68</v>
      </c>
      <c r="B13" s="125">
        <v>549603455</v>
      </c>
      <c r="C13" s="117"/>
      <c r="D13" s="117"/>
      <c r="E13" s="109"/>
      <c r="F13" s="109"/>
      <c r="G13" s="109"/>
      <c r="H13" s="118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s="108" customFormat="1" ht="15.75" customHeight="1" x14ac:dyDescent="0.25">
      <c r="A14" s="115" t="s">
        <v>69</v>
      </c>
      <c r="B14" s="125">
        <v>841486313</v>
      </c>
      <c r="C14" s="117"/>
      <c r="D14" s="11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s="108" customFormat="1" ht="15.75" customHeight="1" x14ac:dyDescent="0.25">
      <c r="A15" s="115" t="s">
        <v>56</v>
      </c>
      <c r="B15" s="125">
        <v>0</v>
      </c>
      <c r="C15" s="117"/>
      <c r="D15" s="11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s="108" customFormat="1" ht="15.75" customHeight="1" x14ac:dyDescent="0.25">
      <c r="A16" s="126" t="s">
        <v>57</v>
      </c>
      <c r="B16" s="127">
        <f>+B13+B14+B15</f>
        <v>1391089768</v>
      </c>
      <c r="C16" s="117"/>
      <c r="D16" s="117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8" s="108" customFormat="1" ht="15.75" customHeight="1" x14ac:dyDescent="0.25">
      <c r="A17" s="115" t="s">
        <v>70</v>
      </c>
      <c r="B17" s="125">
        <v>87410000</v>
      </c>
      <c r="C17" s="117"/>
      <c r="D17" s="117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8" s="108" customFormat="1" ht="15.75" customHeight="1" x14ac:dyDescent="0.25">
      <c r="A18" s="115" t="s">
        <v>71</v>
      </c>
      <c r="B18" s="125">
        <v>2750081597</v>
      </c>
      <c r="C18" s="117"/>
      <c r="D18" s="11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8" s="108" customFormat="1" ht="15.75" customHeight="1" x14ac:dyDescent="0.25">
      <c r="A19" s="115" t="s">
        <v>58</v>
      </c>
      <c r="B19" s="125">
        <v>0</v>
      </c>
      <c r="C19" s="117"/>
      <c r="D19" s="117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8" s="108" customFormat="1" ht="15.75" customHeight="1" x14ac:dyDescent="0.25">
      <c r="A20" s="126" t="s">
        <v>59</v>
      </c>
      <c r="B20" s="127">
        <f>+B17+B18+B19</f>
        <v>2837491597</v>
      </c>
      <c r="C20" s="117"/>
      <c r="D20" s="117"/>
      <c r="E20" s="109"/>
      <c r="F20" s="109"/>
      <c r="G20" s="109"/>
      <c r="H20" s="118"/>
      <c r="I20" s="118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8" s="108" customFormat="1" ht="15.75" customHeight="1" thickBot="1" x14ac:dyDescent="0.3">
      <c r="A21" s="128" t="s">
        <v>60</v>
      </c>
      <c r="B21" s="129">
        <f>+B12+B16+B20</f>
        <v>9541781627</v>
      </c>
      <c r="C21" s="117"/>
      <c r="D21" s="109"/>
      <c r="E21" s="11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8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8" s="108" customFormat="1" ht="9.75" customHeight="1" x14ac:dyDescent="0.25">
      <c r="A22" s="130"/>
      <c r="B22" s="131"/>
      <c r="C22" s="131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8" s="136" customFormat="1" ht="15.75" thickBot="1" x14ac:dyDescent="0.3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P23" s="133"/>
      <c r="Q23" s="134"/>
      <c r="R23" s="134"/>
      <c r="S23" s="134"/>
      <c r="T23" s="134"/>
      <c r="U23" s="134"/>
      <c r="V23" s="134"/>
      <c r="W23" s="134"/>
      <c r="X23" s="134"/>
      <c r="Y23" s="134"/>
      <c r="Z23" s="135"/>
    </row>
    <row r="24" spans="1:28" ht="45" customHeight="1" x14ac:dyDescent="0.25">
      <c r="A24" s="297" t="s">
        <v>4</v>
      </c>
      <c r="B24" s="299" t="s">
        <v>0</v>
      </c>
      <c r="C24" s="299" t="s">
        <v>1</v>
      </c>
      <c r="D24" s="301" t="s">
        <v>3</v>
      </c>
      <c r="E24" s="303" t="s">
        <v>37</v>
      </c>
      <c r="F24" s="299"/>
      <c r="G24" s="304" t="s">
        <v>32</v>
      </c>
      <c r="H24" s="303" t="s">
        <v>38</v>
      </c>
      <c r="I24" s="299"/>
      <c r="J24" s="304" t="s">
        <v>33</v>
      </c>
      <c r="K24" s="303" t="s">
        <v>39</v>
      </c>
      <c r="L24" s="299"/>
      <c r="M24" s="304" t="s">
        <v>26</v>
      </c>
      <c r="N24" s="308" t="s">
        <v>6</v>
      </c>
      <c r="O24" s="310" t="s">
        <v>12</v>
      </c>
      <c r="P24" s="301" t="s">
        <v>9</v>
      </c>
      <c r="Q24" s="299" t="s">
        <v>116</v>
      </c>
      <c r="R24" s="299" t="s">
        <v>117</v>
      </c>
      <c r="S24" s="299" t="s">
        <v>118</v>
      </c>
      <c r="T24" s="306" t="s">
        <v>119</v>
      </c>
      <c r="U24" s="306" t="s">
        <v>120</v>
      </c>
      <c r="V24" s="306" t="s">
        <v>121</v>
      </c>
      <c r="W24" s="306" t="s">
        <v>122</v>
      </c>
      <c r="X24" s="299" t="s">
        <v>123</v>
      </c>
      <c r="Y24" s="299" t="s">
        <v>5</v>
      </c>
      <c r="Z24" s="312" t="s">
        <v>114</v>
      </c>
    </row>
    <row r="25" spans="1:28" x14ac:dyDescent="0.25">
      <c r="A25" s="298"/>
      <c r="B25" s="300"/>
      <c r="C25" s="300"/>
      <c r="D25" s="302"/>
      <c r="E25" s="137" t="s">
        <v>40</v>
      </c>
      <c r="F25" s="138" t="s">
        <v>41</v>
      </c>
      <c r="G25" s="305"/>
      <c r="H25" s="137" t="s">
        <v>42</v>
      </c>
      <c r="I25" s="138" t="s">
        <v>41</v>
      </c>
      <c r="J25" s="305"/>
      <c r="K25" s="137" t="s">
        <v>40</v>
      </c>
      <c r="L25" s="138" t="s">
        <v>41</v>
      </c>
      <c r="M25" s="305"/>
      <c r="N25" s="309"/>
      <c r="O25" s="311"/>
      <c r="P25" s="302"/>
      <c r="Q25" s="300"/>
      <c r="R25" s="300"/>
      <c r="S25" s="300"/>
      <c r="T25" s="307"/>
      <c r="U25" s="307"/>
      <c r="V25" s="307"/>
      <c r="W25" s="307"/>
      <c r="X25" s="300"/>
      <c r="Y25" s="300"/>
      <c r="Z25" s="313"/>
    </row>
    <row r="26" spans="1:28" ht="15.75" thickBot="1" x14ac:dyDescent="0.3">
      <c r="A26" s="139" t="s">
        <v>94</v>
      </c>
      <c r="B26" s="140"/>
      <c r="C26" s="140"/>
      <c r="D26" s="141"/>
      <c r="E26" s="142"/>
      <c r="F26" s="142"/>
      <c r="G26" s="143"/>
      <c r="H26" s="144"/>
      <c r="I26" s="142"/>
      <c r="J26" s="143"/>
      <c r="K26" s="144"/>
      <c r="L26" s="142"/>
      <c r="M26" s="143"/>
      <c r="N26" s="145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8" x14ac:dyDescent="0.25">
      <c r="A27" s="146" t="s">
        <v>28</v>
      </c>
      <c r="B27" s="147">
        <v>401</v>
      </c>
      <c r="C27" s="147">
        <v>10</v>
      </c>
      <c r="D27" s="148">
        <v>720000</v>
      </c>
      <c r="E27" s="149">
        <v>2710800000</v>
      </c>
      <c r="F27" s="150"/>
      <c r="G27" s="150"/>
      <c r="H27" s="150">
        <v>0</v>
      </c>
      <c r="I27" s="150"/>
      <c r="J27" s="150"/>
      <c r="K27" s="150"/>
      <c r="L27" s="150"/>
      <c r="M27" s="150"/>
      <c r="N27" s="151">
        <f>E27+H27+K27</f>
        <v>2710800000</v>
      </c>
      <c r="O27" s="151">
        <f>SUM(Q27:X27)</f>
        <v>400665600</v>
      </c>
      <c r="P27" s="151">
        <f>N27-O27</f>
        <v>2310134400</v>
      </c>
      <c r="Q27" s="257">
        <f>10860000*94%</f>
        <v>10208400</v>
      </c>
      <c r="R27" s="257">
        <f>(7080000+14490000)*94%</f>
        <v>20275800</v>
      </c>
      <c r="S27" s="257">
        <f>(40470000)*94%</f>
        <v>38041800</v>
      </c>
      <c r="T27" s="257">
        <f>(120720000)*94%</f>
        <v>113476800</v>
      </c>
      <c r="U27" s="257">
        <f>(215730000+120000+13740000+3030000)*94%</f>
        <v>218662800</v>
      </c>
      <c r="V27" s="150"/>
      <c r="W27" s="150">
        <v>0</v>
      </c>
      <c r="X27" s="150">
        <v>0</v>
      </c>
      <c r="Y27" s="152">
        <f>SUM(Q27:X27)</f>
        <v>400665600</v>
      </c>
      <c r="Z27" s="153">
        <f>ON27</f>
        <v>0</v>
      </c>
      <c r="AA27" s="154"/>
    </row>
    <row r="28" spans="1:28" x14ac:dyDescent="0.25">
      <c r="A28" s="155" t="s">
        <v>96</v>
      </c>
      <c r="B28" s="156"/>
      <c r="C28" s="156"/>
      <c r="D28" s="157"/>
      <c r="E28" s="158">
        <f>E27</f>
        <v>2710800000</v>
      </c>
      <c r="F28" s="158">
        <f>SUM(F27)</f>
        <v>0</v>
      </c>
      <c r="G28" s="158" t="e">
        <f>+#REF!+#REF!+#REF!+#REF!+#REF!+G21+G23+G26</f>
        <v>#REF!</v>
      </c>
      <c r="H28" s="158">
        <f>H27</f>
        <v>0</v>
      </c>
      <c r="I28" s="158">
        <f>SUM(I27)</f>
        <v>0</v>
      </c>
      <c r="J28" s="158" t="e">
        <f>+#REF!+#REF!+#REF!+#REF!+#REF!+J21+J23+J26</f>
        <v>#REF!</v>
      </c>
      <c r="K28" s="158">
        <f>SUM(K27)</f>
        <v>0</v>
      </c>
      <c r="L28" s="158">
        <f>SUM(L27)</f>
        <v>0</v>
      </c>
      <c r="M28" s="158">
        <f t="shared" ref="M28:N28" si="0">M27</f>
        <v>0</v>
      </c>
      <c r="N28" s="158">
        <f t="shared" si="0"/>
        <v>2710800000</v>
      </c>
      <c r="O28" s="158">
        <f>O27</f>
        <v>400665600</v>
      </c>
      <c r="P28" s="158">
        <f>P27</f>
        <v>2310134400</v>
      </c>
      <c r="Q28" s="258">
        <f>Q27</f>
        <v>10208400</v>
      </c>
      <c r="R28" s="258">
        <f t="shared" ref="R28:X28" si="1">R27</f>
        <v>20275800</v>
      </c>
      <c r="S28" s="258">
        <f t="shared" si="1"/>
        <v>38041800</v>
      </c>
      <c r="T28" s="258">
        <f t="shared" si="1"/>
        <v>113476800</v>
      </c>
      <c r="U28" s="258">
        <f t="shared" si="1"/>
        <v>218662800</v>
      </c>
      <c r="V28" s="158">
        <f t="shared" si="1"/>
        <v>0</v>
      </c>
      <c r="W28" s="158">
        <f t="shared" si="1"/>
        <v>0</v>
      </c>
      <c r="X28" s="158">
        <f t="shared" si="1"/>
        <v>0</v>
      </c>
      <c r="Y28" s="158">
        <f>Y27</f>
        <v>400665600</v>
      </c>
      <c r="Z28" s="159">
        <f>Z27</f>
        <v>0</v>
      </c>
    </row>
    <row r="29" spans="1:28" ht="15" customHeight="1" x14ac:dyDescent="0.25">
      <c r="A29" s="160" t="s">
        <v>61</v>
      </c>
      <c r="B29" s="161">
        <v>1</v>
      </c>
      <c r="C29" s="161">
        <v>12</v>
      </c>
      <c r="D29" s="162">
        <v>5300000</v>
      </c>
      <c r="E29" s="163">
        <f>E30</f>
        <v>47600000</v>
      </c>
      <c r="F29" s="164">
        <v>0</v>
      </c>
      <c r="G29" s="164">
        <v>0</v>
      </c>
      <c r="H29" s="165">
        <f>+H30</f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5">
        <f>+E29</f>
        <v>47600000</v>
      </c>
      <c r="O29" s="165">
        <f>O30</f>
        <v>47600000</v>
      </c>
      <c r="P29" s="165">
        <f>N29-O29</f>
        <v>0</v>
      </c>
      <c r="Q29" s="259">
        <f>+Q30</f>
        <v>2915000.25</v>
      </c>
      <c r="R29" s="259">
        <f t="shared" ref="R29:X29" si="2">+R30</f>
        <v>3975000</v>
      </c>
      <c r="S29" s="259">
        <f t="shared" si="2"/>
        <v>3975000</v>
      </c>
      <c r="T29" s="259">
        <f t="shared" si="2"/>
        <v>3975000</v>
      </c>
      <c r="U29" s="259">
        <f t="shared" si="2"/>
        <v>3975000</v>
      </c>
      <c r="V29" s="165">
        <f t="shared" si="2"/>
        <v>0</v>
      </c>
      <c r="W29" s="165">
        <f t="shared" si="2"/>
        <v>0</v>
      </c>
      <c r="X29" s="165">
        <f t="shared" si="2"/>
        <v>0</v>
      </c>
      <c r="Y29" s="165">
        <f t="shared" ref="Y29:Y39" si="3">SUM(Q29:X29)</f>
        <v>18815000.25</v>
      </c>
      <c r="Z29" s="166">
        <f>+Z30</f>
        <v>28784999.75</v>
      </c>
    </row>
    <row r="30" spans="1:28" x14ac:dyDescent="0.25">
      <c r="A30" s="167" t="s">
        <v>162</v>
      </c>
      <c r="B30" s="168"/>
      <c r="C30" s="168"/>
      <c r="D30" s="169"/>
      <c r="E30" s="170">
        <v>47600000</v>
      </c>
      <c r="F30" s="171"/>
      <c r="G30" s="171"/>
      <c r="H30" s="171">
        <v>0</v>
      </c>
      <c r="I30" s="171"/>
      <c r="J30" s="171"/>
      <c r="K30" s="171"/>
      <c r="L30" s="171"/>
      <c r="M30" s="171"/>
      <c r="N30" s="171"/>
      <c r="O30" s="171">
        <f>E30+H30+K30</f>
        <v>47600000</v>
      </c>
      <c r="P30" s="171"/>
      <c r="Q30" s="260">
        <f>(3886667)*75%</f>
        <v>2915000.25</v>
      </c>
      <c r="R30" s="260">
        <f>+(5300000*75%)</f>
        <v>3975000</v>
      </c>
      <c r="S30" s="260">
        <f>+(5300000*75%)</f>
        <v>3975000</v>
      </c>
      <c r="T30" s="260">
        <f>+(5300000*75%)</f>
        <v>3975000</v>
      </c>
      <c r="U30" s="260">
        <f>+(5300000*75%)</f>
        <v>3975000</v>
      </c>
      <c r="V30" s="171">
        <v>0</v>
      </c>
      <c r="W30" s="171">
        <v>0</v>
      </c>
      <c r="X30" s="171">
        <v>0</v>
      </c>
      <c r="Y30" s="171">
        <f t="shared" si="3"/>
        <v>18815000.25</v>
      </c>
      <c r="Z30" s="173">
        <f>O30-Y30</f>
        <v>28784999.75</v>
      </c>
    </row>
    <row r="31" spans="1:28" s="174" customFormat="1" x14ac:dyDescent="0.25">
      <c r="A31" s="160" t="s">
        <v>34</v>
      </c>
      <c r="B31" s="161">
        <v>1</v>
      </c>
      <c r="C31" s="161">
        <v>11</v>
      </c>
      <c r="D31" s="162">
        <v>3030000</v>
      </c>
      <c r="E31" s="163">
        <f>+B31*C31*D31</f>
        <v>33330000</v>
      </c>
      <c r="F31" s="164">
        <v>0</v>
      </c>
      <c r="G31" s="164"/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5">
        <f>+E31</f>
        <v>33330000</v>
      </c>
      <c r="O31" s="165">
        <f>+O32+O33</f>
        <v>33330000</v>
      </c>
      <c r="P31" s="165">
        <f>N31-O31</f>
        <v>0</v>
      </c>
      <c r="Q31" s="259">
        <f>+Q32+Q33</f>
        <v>2222000</v>
      </c>
      <c r="R31" s="259">
        <f t="shared" ref="R31:X31" si="4">+R32+R33</f>
        <v>3030000</v>
      </c>
      <c r="S31" s="259">
        <f t="shared" si="4"/>
        <v>3030000</v>
      </c>
      <c r="T31" s="259">
        <f t="shared" si="4"/>
        <v>2525000</v>
      </c>
      <c r="U31" s="259">
        <f t="shared" si="4"/>
        <v>3030000</v>
      </c>
      <c r="V31" s="165">
        <f t="shared" si="4"/>
        <v>0</v>
      </c>
      <c r="W31" s="165">
        <f t="shared" si="4"/>
        <v>0</v>
      </c>
      <c r="X31" s="165">
        <f t="shared" si="4"/>
        <v>0</v>
      </c>
      <c r="Y31" s="165">
        <f t="shared" si="3"/>
        <v>13837000</v>
      </c>
      <c r="Z31" s="166">
        <f>+Z32+Z33</f>
        <v>19493000</v>
      </c>
    </row>
    <row r="32" spans="1:28" x14ac:dyDescent="0.25">
      <c r="A32" s="167" t="s">
        <v>163</v>
      </c>
      <c r="B32" s="168"/>
      <c r="C32" s="168"/>
      <c r="D32" s="169"/>
      <c r="E32" s="170">
        <v>33330000</v>
      </c>
      <c r="F32" s="171"/>
      <c r="G32" s="171"/>
      <c r="H32" s="171"/>
      <c r="I32" s="171"/>
      <c r="J32" s="171"/>
      <c r="K32" s="171"/>
      <c r="L32" s="171"/>
      <c r="M32" s="175"/>
      <c r="N32" s="171"/>
      <c r="O32" s="171">
        <v>9090000</v>
      </c>
      <c r="P32" s="171"/>
      <c r="Q32" s="260">
        <v>2222000</v>
      </c>
      <c r="R32" s="260">
        <v>3030000</v>
      </c>
      <c r="S32" s="260">
        <v>3030000</v>
      </c>
      <c r="T32" s="260">
        <v>808000</v>
      </c>
      <c r="U32" s="260"/>
      <c r="V32" s="171">
        <v>0</v>
      </c>
      <c r="W32" s="171">
        <v>0</v>
      </c>
      <c r="X32" s="171">
        <v>0</v>
      </c>
      <c r="Y32" s="171">
        <f t="shared" si="3"/>
        <v>9090000</v>
      </c>
      <c r="Z32" s="173">
        <f>O32-Y32</f>
        <v>0</v>
      </c>
      <c r="AA32" s="154"/>
      <c r="AB32" s="154"/>
    </row>
    <row r="33" spans="1:28" x14ac:dyDescent="0.25">
      <c r="A33" s="167" t="s">
        <v>164</v>
      </c>
      <c r="B33" s="168"/>
      <c r="C33" s="168"/>
      <c r="D33" s="169"/>
      <c r="E33" s="170"/>
      <c r="F33" s="171"/>
      <c r="G33" s="171"/>
      <c r="H33" s="171"/>
      <c r="I33" s="171"/>
      <c r="J33" s="171"/>
      <c r="K33" s="171"/>
      <c r="L33" s="171"/>
      <c r="M33" s="175"/>
      <c r="N33" s="171"/>
      <c r="O33" s="171">
        <v>24240000</v>
      </c>
      <c r="P33" s="171"/>
      <c r="Q33" s="260"/>
      <c r="R33" s="260"/>
      <c r="S33" s="260"/>
      <c r="T33" s="260">
        <v>1717000</v>
      </c>
      <c r="U33" s="260">
        <v>3030000</v>
      </c>
      <c r="V33" s="171"/>
      <c r="W33" s="171"/>
      <c r="X33" s="171"/>
      <c r="Y33" s="171">
        <f t="shared" si="3"/>
        <v>4747000</v>
      </c>
      <c r="Z33" s="173">
        <f>O33-Y33</f>
        <v>19493000</v>
      </c>
      <c r="AA33" s="154"/>
      <c r="AB33" s="154"/>
    </row>
    <row r="34" spans="1:28" s="174" customFormat="1" x14ac:dyDescent="0.25">
      <c r="A34" s="160" t="s">
        <v>124</v>
      </c>
      <c r="B34" s="161">
        <v>1</v>
      </c>
      <c r="C34" s="161">
        <v>9</v>
      </c>
      <c r="D34" s="162">
        <v>3600000</v>
      </c>
      <c r="E34" s="163">
        <f>+B34*C34*D34</f>
        <v>32400000</v>
      </c>
      <c r="F34" s="164">
        <v>0</v>
      </c>
      <c r="G34" s="164"/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5">
        <f>+E34</f>
        <v>32400000</v>
      </c>
      <c r="O34" s="165">
        <f>O35</f>
        <v>32400000</v>
      </c>
      <c r="P34" s="165">
        <f>N34-O34</f>
        <v>0</v>
      </c>
      <c r="Q34" s="259">
        <f>+Q35</f>
        <v>0</v>
      </c>
      <c r="R34" s="259">
        <f t="shared" ref="R34:X34" si="5">+R35</f>
        <v>0</v>
      </c>
      <c r="S34" s="259">
        <f t="shared" si="5"/>
        <v>0</v>
      </c>
      <c r="T34" s="259">
        <f t="shared" si="5"/>
        <v>1200000</v>
      </c>
      <c r="U34" s="259">
        <f t="shared" si="5"/>
        <v>3600000</v>
      </c>
      <c r="V34" s="165">
        <f t="shared" si="5"/>
        <v>0</v>
      </c>
      <c r="W34" s="165">
        <f t="shared" si="5"/>
        <v>0</v>
      </c>
      <c r="X34" s="165">
        <f t="shared" si="5"/>
        <v>0</v>
      </c>
      <c r="Y34" s="165">
        <f t="shared" si="3"/>
        <v>4800000</v>
      </c>
      <c r="Z34" s="166">
        <f>+Z35</f>
        <v>27600000</v>
      </c>
    </row>
    <row r="35" spans="1:28" x14ac:dyDescent="0.25">
      <c r="A35" s="167" t="s">
        <v>165</v>
      </c>
      <c r="B35" s="168"/>
      <c r="C35" s="168"/>
      <c r="D35" s="169"/>
      <c r="E35" s="170">
        <v>32400000</v>
      </c>
      <c r="F35" s="171"/>
      <c r="G35" s="171"/>
      <c r="H35" s="171"/>
      <c r="I35" s="171"/>
      <c r="J35" s="171"/>
      <c r="K35" s="171"/>
      <c r="L35" s="171"/>
      <c r="M35" s="175"/>
      <c r="N35" s="171"/>
      <c r="O35" s="171">
        <f>E35+H35+K35</f>
        <v>32400000</v>
      </c>
      <c r="P35" s="171"/>
      <c r="Q35" s="261">
        <v>0</v>
      </c>
      <c r="R35" s="261">
        <v>0</v>
      </c>
      <c r="S35" s="261">
        <v>0</v>
      </c>
      <c r="T35" s="260">
        <v>1200000</v>
      </c>
      <c r="U35" s="260">
        <v>3600000</v>
      </c>
      <c r="V35" s="171">
        <v>0</v>
      </c>
      <c r="W35" s="171">
        <v>0</v>
      </c>
      <c r="X35" s="171">
        <v>0</v>
      </c>
      <c r="Y35" s="171">
        <f t="shared" si="3"/>
        <v>4800000</v>
      </c>
      <c r="Z35" s="173">
        <f>O35-Y35</f>
        <v>27600000</v>
      </c>
      <c r="AA35" s="154"/>
      <c r="AB35" s="154"/>
    </row>
    <row r="36" spans="1:28" x14ac:dyDescent="0.25">
      <c r="A36" s="160" t="s">
        <v>30</v>
      </c>
      <c r="B36" s="161">
        <v>3</v>
      </c>
      <c r="C36" s="161">
        <v>9</v>
      </c>
      <c r="D36" s="162">
        <v>2220000</v>
      </c>
      <c r="E36" s="163">
        <f>+B36*C36*D36</f>
        <v>59940000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5">
        <f>+E36</f>
        <v>59940000</v>
      </c>
      <c r="O36" s="165">
        <f>SUM(O37:O39)</f>
        <v>29970000</v>
      </c>
      <c r="P36" s="165">
        <f>N36-O36</f>
        <v>29970000</v>
      </c>
      <c r="Q36" s="259">
        <f>+Q37+Q38+Q39</f>
        <v>592000</v>
      </c>
      <c r="R36" s="259">
        <f t="shared" ref="R36:X36" si="6">+R37+R38+R39</f>
        <v>2220000</v>
      </c>
      <c r="S36" s="259">
        <f t="shared" si="6"/>
        <v>2220000</v>
      </c>
      <c r="T36" s="259">
        <f t="shared" si="6"/>
        <v>2590000</v>
      </c>
      <c r="U36" s="259">
        <f t="shared" si="6"/>
        <v>4440000</v>
      </c>
      <c r="V36" s="165">
        <f t="shared" si="6"/>
        <v>0</v>
      </c>
      <c r="W36" s="165">
        <f t="shared" si="6"/>
        <v>0</v>
      </c>
      <c r="X36" s="165">
        <f t="shared" si="6"/>
        <v>0</v>
      </c>
      <c r="Y36" s="165">
        <f t="shared" si="3"/>
        <v>12062000</v>
      </c>
      <c r="Z36" s="166">
        <f>SUM(Z37:Z39)</f>
        <v>17908000</v>
      </c>
      <c r="AA36" s="154"/>
    </row>
    <row r="37" spans="1:28" x14ac:dyDescent="0.25">
      <c r="A37" s="167" t="s">
        <v>189</v>
      </c>
      <c r="B37" s="176">
        <v>1</v>
      </c>
      <c r="C37" s="176">
        <v>4.5</v>
      </c>
      <c r="D37" s="170">
        <v>2220000</v>
      </c>
      <c r="E37" s="170">
        <f>+B37*C37*D37</f>
        <v>9990000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7">
        <f>E37+H37+K37</f>
        <v>9990000</v>
      </c>
      <c r="P37" s="172"/>
      <c r="Q37" s="260">
        <v>592000</v>
      </c>
      <c r="R37" s="260">
        <v>2220000</v>
      </c>
      <c r="S37" s="260">
        <v>2220000</v>
      </c>
      <c r="T37" s="260">
        <f>1628000+592000</f>
        <v>2220000</v>
      </c>
      <c r="U37" s="260">
        <f>1628000+592000</f>
        <v>2220000</v>
      </c>
      <c r="V37" s="171">
        <v>0</v>
      </c>
      <c r="W37" s="171">
        <v>0</v>
      </c>
      <c r="X37" s="171">
        <v>0</v>
      </c>
      <c r="Y37" s="171">
        <f t="shared" si="3"/>
        <v>9472000</v>
      </c>
      <c r="Z37" s="173">
        <f>O37-Y37</f>
        <v>518000</v>
      </c>
      <c r="AA37" s="154"/>
    </row>
    <row r="38" spans="1:28" x14ac:dyDescent="0.25">
      <c r="A38" s="167" t="s">
        <v>196</v>
      </c>
      <c r="B38" s="176">
        <v>1</v>
      </c>
      <c r="C38" s="176">
        <v>9</v>
      </c>
      <c r="D38" s="170">
        <v>2220000</v>
      </c>
      <c r="E38" s="170">
        <f>+B38*C38*D38</f>
        <v>19980000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1">
        <f t="shared" ref="O38:O39" si="7">E38+H38+K38</f>
        <v>19980000</v>
      </c>
      <c r="P38" s="172"/>
      <c r="Q38" s="260"/>
      <c r="R38" s="260"/>
      <c r="S38" s="260"/>
      <c r="T38" s="260">
        <v>370000</v>
      </c>
      <c r="U38" s="260">
        <v>2220000</v>
      </c>
      <c r="V38" s="171">
        <v>0</v>
      </c>
      <c r="W38" s="171">
        <v>0</v>
      </c>
      <c r="X38" s="171">
        <v>0</v>
      </c>
      <c r="Y38" s="171">
        <f t="shared" si="3"/>
        <v>2590000</v>
      </c>
      <c r="Z38" s="173">
        <f>O38-Y38</f>
        <v>17390000</v>
      </c>
      <c r="AA38" s="154"/>
    </row>
    <row r="39" spans="1:28" x14ac:dyDescent="0.25">
      <c r="A39" s="167"/>
      <c r="B39" s="176"/>
      <c r="C39" s="176"/>
      <c r="D39" s="170"/>
      <c r="E39" s="170">
        <f>+B39*C39*D39</f>
        <v>0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1">
        <f t="shared" si="7"/>
        <v>0</v>
      </c>
      <c r="P39" s="172"/>
      <c r="Q39" s="261"/>
      <c r="R39" s="261"/>
      <c r="S39" s="261"/>
      <c r="T39" s="261">
        <v>0</v>
      </c>
      <c r="U39" s="261">
        <v>0</v>
      </c>
      <c r="V39" s="171">
        <v>0</v>
      </c>
      <c r="W39" s="171">
        <v>0</v>
      </c>
      <c r="X39" s="171">
        <v>0</v>
      </c>
      <c r="Y39" s="171">
        <f t="shared" si="3"/>
        <v>0</v>
      </c>
      <c r="Z39" s="173">
        <f>O39-Y39</f>
        <v>0</v>
      </c>
      <c r="AA39" s="154"/>
    </row>
    <row r="40" spans="1:28" x14ac:dyDescent="0.25">
      <c r="A40" s="167"/>
      <c r="B40" s="176"/>
      <c r="C40" s="176"/>
      <c r="D40" s="170"/>
      <c r="E40" s="170"/>
      <c r="F40" s="172"/>
      <c r="G40" s="172"/>
      <c r="H40" s="172"/>
      <c r="I40" s="172"/>
      <c r="J40" s="172"/>
      <c r="K40" s="172"/>
      <c r="L40" s="172"/>
      <c r="M40" s="172"/>
      <c r="N40" s="172"/>
      <c r="O40" s="171"/>
      <c r="P40" s="172"/>
      <c r="Q40" s="261"/>
      <c r="R40" s="261"/>
      <c r="S40" s="261"/>
      <c r="T40" s="261"/>
      <c r="U40" s="261"/>
      <c r="V40" s="171"/>
      <c r="W40" s="171"/>
      <c r="X40" s="171"/>
      <c r="Y40" s="171"/>
      <c r="Z40" s="178"/>
      <c r="AA40" s="154"/>
    </row>
    <row r="41" spans="1:28" x14ac:dyDescent="0.25">
      <c r="A41" s="160" t="s">
        <v>158</v>
      </c>
      <c r="B41" s="161">
        <f>3</f>
        <v>3</v>
      </c>
      <c r="C41" s="161">
        <v>10</v>
      </c>
      <c r="D41" s="162">
        <v>1995000</v>
      </c>
      <c r="E41" s="163">
        <f>(B41*C41*D41)*30%</f>
        <v>17955000</v>
      </c>
      <c r="F41" s="164">
        <v>0</v>
      </c>
      <c r="G41" s="164">
        <v>0</v>
      </c>
      <c r="H41" s="163">
        <f>SUM(H42:H45)</f>
        <v>0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5">
        <f>+E41</f>
        <v>17955000</v>
      </c>
      <c r="O41" s="165">
        <f>SUM(O42:O45)</f>
        <v>17955000</v>
      </c>
      <c r="P41" s="165">
        <f>N41-O41</f>
        <v>0</v>
      </c>
      <c r="Q41" s="259">
        <f t="shared" ref="Q41:X41" si="8">SUM(Q42:Q45)</f>
        <v>319200</v>
      </c>
      <c r="R41" s="259">
        <f t="shared" si="8"/>
        <v>598500</v>
      </c>
      <c r="S41" s="259">
        <f t="shared" si="8"/>
        <v>598500</v>
      </c>
      <c r="T41" s="259">
        <f t="shared" si="8"/>
        <v>1516200</v>
      </c>
      <c r="U41" s="259">
        <f t="shared" si="8"/>
        <v>1815450</v>
      </c>
      <c r="V41" s="165">
        <f t="shared" si="8"/>
        <v>0</v>
      </c>
      <c r="W41" s="165">
        <f t="shared" si="8"/>
        <v>0</v>
      </c>
      <c r="X41" s="165">
        <f t="shared" si="8"/>
        <v>0</v>
      </c>
      <c r="Y41" s="165">
        <f>SUM(Q41:X41)</f>
        <v>4847850</v>
      </c>
      <c r="Z41" s="166">
        <f>SUM(Z42:Z45)</f>
        <v>13107150</v>
      </c>
      <c r="AA41" s="154"/>
    </row>
    <row r="42" spans="1:28" ht="15" customHeight="1" x14ac:dyDescent="0.25">
      <c r="A42" s="179" t="s">
        <v>190</v>
      </c>
      <c r="B42" s="180">
        <v>1</v>
      </c>
      <c r="C42" s="180">
        <v>4.5</v>
      </c>
      <c r="D42" s="181">
        <v>1995000</v>
      </c>
      <c r="E42" s="181">
        <f>(C42*D42)*30%</f>
        <v>2693250</v>
      </c>
      <c r="F42" s="171"/>
      <c r="G42" s="171"/>
      <c r="H42" s="171">
        <v>0</v>
      </c>
      <c r="I42" s="171"/>
      <c r="J42" s="171"/>
      <c r="K42" s="171"/>
      <c r="L42" s="171"/>
      <c r="M42" s="171"/>
      <c r="N42" s="171"/>
      <c r="O42" s="182">
        <f t="shared" ref="O42:O45" si="9">E42+H42+K42</f>
        <v>2693250</v>
      </c>
      <c r="P42" s="171"/>
      <c r="Q42" s="261">
        <f>1064000*30%</f>
        <v>319200</v>
      </c>
      <c r="R42" s="261">
        <f>1995000*30%</f>
        <v>598500</v>
      </c>
      <c r="S42" s="261">
        <f>1995000*30%</f>
        <v>598500</v>
      </c>
      <c r="T42" s="261">
        <f t="shared" ref="T42" si="10">1995000*30%</f>
        <v>598500</v>
      </c>
      <c r="U42" s="261">
        <f>1928500*30%</f>
        <v>578550</v>
      </c>
      <c r="V42" s="171">
        <v>0</v>
      </c>
      <c r="W42" s="171">
        <v>0</v>
      </c>
      <c r="X42" s="171">
        <v>0</v>
      </c>
      <c r="Y42" s="171">
        <f>SUM(Q42:X42)</f>
        <v>2693250</v>
      </c>
      <c r="Z42" s="173">
        <f>O42-Y42</f>
        <v>0</v>
      </c>
      <c r="AA42" s="154"/>
    </row>
    <row r="43" spans="1:28" ht="15" customHeight="1" x14ac:dyDescent="0.25">
      <c r="A43" s="179" t="s">
        <v>215</v>
      </c>
      <c r="B43" s="180"/>
      <c r="C43" s="180">
        <v>7.5</v>
      </c>
      <c r="D43" s="181">
        <v>1995000</v>
      </c>
      <c r="E43" s="181">
        <f>(C43*D43)*30%</f>
        <v>4488750</v>
      </c>
      <c r="F43" s="171"/>
      <c r="G43" s="171"/>
      <c r="H43" s="171"/>
      <c r="I43" s="171"/>
      <c r="J43" s="171"/>
      <c r="K43" s="171"/>
      <c r="L43" s="171"/>
      <c r="M43" s="171"/>
      <c r="N43" s="171"/>
      <c r="O43" s="182">
        <f t="shared" si="9"/>
        <v>4488750</v>
      </c>
      <c r="P43" s="171"/>
      <c r="Q43" s="261"/>
      <c r="R43" s="261"/>
      <c r="S43" s="261"/>
      <c r="T43" s="261"/>
      <c r="U43" s="261">
        <f>133000*30%</f>
        <v>39900</v>
      </c>
      <c r="V43" s="171"/>
      <c r="W43" s="171"/>
      <c r="X43" s="171"/>
      <c r="Y43" s="171">
        <f>SUM(Q43:X43)</f>
        <v>39900</v>
      </c>
      <c r="Z43" s="173">
        <f>O43-Y43</f>
        <v>4448850</v>
      </c>
      <c r="AA43" s="154"/>
    </row>
    <row r="44" spans="1:28" ht="15" customHeight="1" x14ac:dyDescent="0.25">
      <c r="A44" s="179" t="s">
        <v>167</v>
      </c>
      <c r="B44" s="180">
        <v>1</v>
      </c>
      <c r="C44" s="180">
        <v>9</v>
      </c>
      <c r="D44" s="181">
        <v>1995000</v>
      </c>
      <c r="E44" s="181">
        <f>(C44*D44)*30%</f>
        <v>5386500</v>
      </c>
      <c r="F44" s="171"/>
      <c r="G44" s="171"/>
      <c r="H44" s="171">
        <v>0</v>
      </c>
      <c r="I44" s="171"/>
      <c r="J44" s="171"/>
      <c r="K44" s="171"/>
      <c r="L44" s="171"/>
      <c r="M44" s="171"/>
      <c r="N44" s="171"/>
      <c r="O44" s="182">
        <f t="shared" si="9"/>
        <v>5386500</v>
      </c>
      <c r="P44" s="171"/>
      <c r="Q44" s="261"/>
      <c r="R44" s="261"/>
      <c r="S44" s="261"/>
      <c r="T44" s="261">
        <f>1529500*30%</f>
        <v>458850</v>
      </c>
      <c r="U44" s="261">
        <f>1995000*30%</f>
        <v>598500</v>
      </c>
      <c r="V44" s="171">
        <v>0</v>
      </c>
      <c r="W44" s="171">
        <v>0</v>
      </c>
      <c r="X44" s="171">
        <v>0</v>
      </c>
      <c r="Y44" s="171">
        <f>SUM(Q44:X44)</f>
        <v>1057350</v>
      </c>
      <c r="Z44" s="173">
        <f>O44-Y44</f>
        <v>4329150</v>
      </c>
      <c r="AA44" s="154"/>
    </row>
    <row r="45" spans="1:28" ht="15" customHeight="1" x14ac:dyDescent="0.25">
      <c r="A45" s="179" t="s">
        <v>168</v>
      </c>
      <c r="B45" s="180">
        <v>1</v>
      </c>
      <c r="C45" s="180">
        <v>9</v>
      </c>
      <c r="D45" s="181">
        <v>1995000</v>
      </c>
      <c r="E45" s="181">
        <f>(C45*D45)*30%</f>
        <v>5386500</v>
      </c>
      <c r="F45" s="171"/>
      <c r="G45" s="171"/>
      <c r="H45" s="171">
        <v>0</v>
      </c>
      <c r="I45" s="171"/>
      <c r="J45" s="171"/>
      <c r="K45" s="171"/>
      <c r="L45" s="171"/>
      <c r="M45" s="171"/>
      <c r="N45" s="171"/>
      <c r="O45" s="182">
        <f t="shared" si="9"/>
        <v>5386500</v>
      </c>
      <c r="P45" s="171"/>
      <c r="Q45" s="261"/>
      <c r="R45" s="261"/>
      <c r="S45" s="261"/>
      <c r="T45" s="261">
        <f>1529500*30%</f>
        <v>458850</v>
      </c>
      <c r="U45" s="261">
        <f>1995000*30%</f>
        <v>598500</v>
      </c>
      <c r="V45" s="171">
        <v>0</v>
      </c>
      <c r="W45" s="171">
        <v>0</v>
      </c>
      <c r="X45" s="171">
        <v>0</v>
      </c>
      <c r="Y45" s="171">
        <f>SUM(Q45:X45)</f>
        <v>1057350</v>
      </c>
      <c r="Z45" s="173">
        <f>O45-Y45</f>
        <v>4329150</v>
      </c>
      <c r="AA45" s="154"/>
    </row>
    <row r="46" spans="1:28" ht="15" customHeight="1" x14ac:dyDescent="0.25">
      <c r="A46" s="179"/>
      <c r="B46" s="168"/>
      <c r="C46" s="168"/>
      <c r="D46" s="169"/>
      <c r="E46" s="170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261"/>
      <c r="R46" s="261"/>
      <c r="S46" s="261"/>
      <c r="T46" s="261"/>
      <c r="U46" s="261"/>
      <c r="V46" s="171"/>
      <c r="W46" s="171"/>
      <c r="X46" s="171"/>
      <c r="Y46" s="171"/>
      <c r="Z46" s="178"/>
      <c r="AA46" s="154"/>
    </row>
    <row r="47" spans="1:28" ht="15" customHeight="1" x14ac:dyDescent="0.25">
      <c r="A47" s="160" t="s">
        <v>158</v>
      </c>
      <c r="B47" s="161">
        <v>24</v>
      </c>
      <c r="C47" s="161">
        <v>9</v>
      </c>
      <c r="D47" s="162">
        <v>1995000</v>
      </c>
      <c r="E47" s="163">
        <f>+B47*C47*D47</f>
        <v>430920000</v>
      </c>
      <c r="F47" s="164">
        <v>0</v>
      </c>
      <c r="G47" s="164">
        <v>0</v>
      </c>
      <c r="H47" s="163">
        <f>SUM(H74:H75)</f>
        <v>0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5">
        <f>+E47</f>
        <v>430920000</v>
      </c>
      <c r="O47" s="165">
        <f>SUM(O48:O72)</f>
        <v>407977500</v>
      </c>
      <c r="P47" s="165">
        <f>N47-O47</f>
        <v>22942500</v>
      </c>
      <c r="Q47" s="259">
        <f>SUM(Q48:Q72)</f>
        <v>1463000</v>
      </c>
      <c r="R47" s="259">
        <f t="shared" ref="R47:X47" si="11">SUM(R48:R72)</f>
        <v>1995000</v>
      </c>
      <c r="S47" s="259">
        <f t="shared" si="11"/>
        <v>1995000</v>
      </c>
      <c r="T47" s="259">
        <f t="shared" si="11"/>
        <v>16891000</v>
      </c>
      <c r="U47" s="259">
        <f t="shared" si="11"/>
        <v>39501000</v>
      </c>
      <c r="V47" s="165">
        <f t="shared" si="11"/>
        <v>0</v>
      </c>
      <c r="W47" s="165">
        <f t="shared" si="11"/>
        <v>0</v>
      </c>
      <c r="X47" s="165">
        <f t="shared" si="11"/>
        <v>0</v>
      </c>
      <c r="Y47" s="165">
        <f t="shared" ref="Y47:Y72" si="12">SUM(Q47:X47)</f>
        <v>61845000</v>
      </c>
      <c r="Z47" s="166">
        <f>SUM(Z48:Z72)</f>
        <v>346132500</v>
      </c>
      <c r="AA47" s="154"/>
    </row>
    <row r="48" spans="1:28" ht="15" customHeight="1" x14ac:dyDescent="0.25">
      <c r="A48" s="179" t="s">
        <v>191</v>
      </c>
      <c r="B48" s="176">
        <v>1</v>
      </c>
      <c r="C48" s="176">
        <v>4.5</v>
      </c>
      <c r="D48" s="170">
        <v>1995000</v>
      </c>
      <c r="E48" s="170">
        <f>+C48*D48</f>
        <v>8977500</v>
      </c>
      <c r="F48" s="172"/>
      <c r="G48" s="172"/>
      <c r="H48" s="183"/>
      <c r="I48" s="172"/>
      <c r="J48" s="172"/>
      <c r="K48" s="172"/>
      <c r="L48" s="172"/>
      <c r="M48" s="172"/>
      <c r="N48" s="184"/>
      <c r="O48" s="172">
        <f t="shared" ref="O48:O50" si="13">E48+H48+K48</f>
        <v>8977500</v>
      </c>
      <c r="P48" s="184"/>
      <c r="Q48" s="260">
        <v>1463000</v>
      </c>
      <c r="R48" s="260">
        <v>1995000</v>
      </c>
      <c r="S48" s="260">
        <v>1995000</v>
      </c>
      <c r="T48" s="260">
        <v>1995000</v>
      </c>
      <c r="U48" s="260">
        <v>1529500</v>
      </c>
      <c r="V48" s="172"/>
      <c r="W48" s="172"/>
      <c r="X48" s="184"/>
      <c r="Y48" s="172">
        <f t="shared" si="12"/>
        <v>8977500</v>
      </c>
      <c r="Z48" s="185">
        <f t="shared" ref="Z48:Z72" si="14">O48-Y48</f>
        <v>0</v>
      </c>
      <c r="AA48" s="154"/>
    </row>
    <row r="49" spans="1:27" ht="15" customHeight="1" x14ac:dyDescent="0.25">
      <c r="A49" s="179" t="s">
        <v>214</v>
      </c>
      <c r="B49" s="176"/>
      <c r="C49" s="176">
        <v>7.5</v>
      </c>
      <c r="D49" s="170">
        <v>1995000</v>
      </c>
      <c r="E49" s="170">
        <f t="shared" ref="E49:E50" si="15">+C49*D49</f>
        <v>14962500</v>
      </c>
      <c r="F49" s="172"/>
      <c r="G49" s="172"/>
      <c r="H49" s="183"/>
      <c r="I49" s="172"/>
      <c r="J49" s="172"/>
      <c r="K49" s="172"/>
      <c r="L49" s="172"/>
      <c r="M49" s="172"/>
      <c r="N49" s="184"/>
      <c r="O49" s="172">
        <f t="shared" si="13"/>
        <v>14962500</v>
      </c>
      <c r="P49" s="184"/>
      <c r="Q49" s="260"/>
      <c r="R49" s="260"/>
      <c r="S49" s="260"/>
      <c r="T49" s="260"/>
      <c r="U49" s="260">
        <v>133000</v>
      </c>
      <c r="V49" s="172"/>
      <c r="W49" s="172"/>
      <c r="X49" s="184"/>
      <c r="Y49" s="172">
        <f t="shared" si="12"/>
        <v>133000</v>
      </c>
      <c r="Z49" s="185">
        <f t="shared" si="14"/>
        <v>14829500</v>
      </c>
      <c r="AA49" s="154"/>
    </row>
    <row r="50" spans="1:27" ht="15" customHeight="1" x14ac:dyDescent="0.25">
      <c r="A50" s="179" t="s">
        <v>166</v>
      </c>
      <c r="B50" s="176"/>
      <c r="C50" s="176">
        <v>7</v>
      </c>
      <c r="D50" s="170">
        <v>1995000</v>
      </c>
      <c r="E50" s="170">
        <f t="shared" si="15"/>
        <v>13965000</v>
      </c>
      <c r="F50" s="172"/>
      <c r="G50" s="172"/>
      <c r="H50" s="183"/>
      <c r="I50" s="172"/>
      <c r="J50" s="172"/>
      <c r="K50" s="172"/>
      <c r="L50" s="172"/>
      <c r="M50" s="172"/>
      <c r="N50" s="184"/>
      <c r="O50" s="172">
        <f t="shared" si="13"/>
        <v>13965000</v>
      </c>
      <c r="P50" s="184"/>
      <c r="Q50" s="260"/>
      <c r="R50" s="260"/>
      <c r="S50" s="260"/>
      <c r="T50" s="260">
        <v>1529500</v>
      </c>
      <c r="U50" s="260">
        <v>1995000</v>
      </c>
      <c r="V50" s="172"/>
      <c r="W50" s="172"/>
      <c r="X50" s="184"/>
      <c r="Y50" s="172">
        <f t="shared" si="12"/>
        <v>3524500</v>
      </c>
      <c r="Z50" s="185">
        <f t="shared" si="14"/>
        <v>10440500</v>
      </c>
      <c r="AA50" s="154"/>
    </row>
    <row r="51" spans="1:27" s="136" customFormat="1" ht="15" customHeight="1" x14ac:dyDescent="0.25">
      <c r="A51" s="179" t="s">
        <v>169</v>
      </c>
      <c r="B51" s="176">
        <v>1</v>
      </c>
      <c r="C51" s="176">
        <v>9</v>
      </c>
      <c r="D51" s="170">
        <v>1995000</v>
      </c>
      <c r="E51" s="170">
        <f t="shared" ref="E51:E72" si="16">+B51*C51*D51</f>
        <v>17955000</v>
      </c>
      <c r="F51" s="172"/>
      <c r="G51" s="172"/>
      <c r="H51" s="183"/>
      <c r="I51" s="172"/>
      <c r="J51" s="172"/>
      <c r="K51" s="172"/>
      <c r="L51" s="172"/>
      <c r="M51" s="172"/>
      <c r="N51" s="184"/>
      <c r="O51" s="172">
        <f t="shared" ref="O51:O72" si="17">E51+H51+K51</f>
        <v>17955000</v>
      </c>
      <c r="P51" s="184"/>
      <c r="Q51" s="260"/>
      <c r="R51" s="260"/>
      <c r="S51" s="260"/>
      <c r="T51" s="260">
        <v>1463000</v>
      </c>
      <c r="U51" s="260">
        <v>1995000</v>
      </c>
      <c r="V51" s="172"/>
      <c r="W51" s="172"/>
      <c r="X51" s="184"/>
      <c r="Y51" s="172">
        <f t="shared" si="12"/>
        <v>3458000</v>
      </c>
      <c r="Z51" s="185">
        <f t="shared" si="14"/>
        <v>14497000</v>
      </c>
      <c r="AA51" s="186"/>
    </row>
    <row r="52" spans="1:27" s="136" customFormat="1" ht="15" customHeight="1" x14ac:dyDescent="0.25">
      <c r="A52" s="179" t="s">
        <v>170</v>
      </c>
      <c r="B52" s="176">
        <v>1</v>
      </c>
      <c r="C52" s="176">
        <v>9</v>
      </c>
      <c r="D52" s="170">
        <v>1995000</v>
      </c>
      <c r="E52" s="170">
        <f t="shared" si="16"/>
        <v>17955000</v>
      </c>
      <c r="F52" s="172"/>
      <c r="G52" s="172"/>
      <c r="H52" s="183"/>
      <c r="I52" s="172"/>
      <c r="J52" s="172"/>
      <c r="K52" s="172"/>
      <c r="L52" s="172"/>
      <c r="M52" s="172"/>
      <c r="N52" s="184"/>
      <c r="O52" s="172">
        <f t="shared" si="17"/>
        <v>17955000</v>
      </c>
      <c r="P52" s="184"/>
      <c r="Q52" s="260"/>
      <c r="R52" s="260"/>
      <c r="S52" s="260"/>
      <c r="T52" s="260">
        <v>1463000</v>
      </c>
      <c r="U52" s="260">
        <v>1995000</v>
      </c>
      <c r="V52" s="172"/>
      <c r="W52" s="172"/>
      <c r="X52" s="184"/>
      <c r="Y52" s="172">
        <f t="shared" si="12"/>
        <v>3458000</v>
      </c>
      <c r="Z52" s="185">
        <f t="shared" si="14"/>
        <v>14497000</v>
      </c>
      <c r="AA52" s="186"/>
    </row>
    <row r="53" spans="1:27" s="136" customFormat="1" ht="15" customHeight="1" x14ac:dyDescent="0.25">
      <c r="A53" s="179" t="s">
        <v>171</v>
      </c>
      <c r="B53" s="176">
        <v>1</v>
      </c>
      <c r="C53" s="176">
        <v>9</v>
      </c>
      <c r="D53" s="170">
        <v>1995000</v>
      </c>
      <c r="E53" s="170">
        <f t="shared" si="16"/>
        <v>17955000</v>
      </c>
      <c r="F53" s="172"/>
      <c r="G53" s="172"/>
      <c r="H53" s="183"/>
      <c r="I53" s="172"/>
      <c r="J53" s="172"/>
      <c r="K53" s="172"/>
      <c r="L53" s="172"/>
      <c r="M53" s="172"/>
      <c r="N53" s="184"/>
      <c r="O53" s="172">
        <f t="shared" si="17"/>
        <v>17955000</v>
      </c>
      <c r="P53" s="184"/>
      <c r="Q53" s="260"/>
      <c r="R53" s="260"/>
      <c r="S53" s="260"/>
      <c r="T53" s="260">
        <v>1463000</v>
      </c>
      <c r="U53" s="260">
        <v>1995000</v>
      </c>
      <c r="V53" s="172"/>
      <c r="W53" s="172"/>
      <c r="X53" s="184"/>
      <c r="Y53" s="172">
        <f t="shared" si="12"/>
        <v>3458000</v>
      </c>
      <c r="Z53" s="185">
        <f t="shared" si="14"/>
        <v>14497000</v>
      </c>
      <c r="AA53" s="186"/>
    </row>
    <row r="54" spans="1:27" s="136" customFormat="1" ht="15" customHeight="1" x14ac:dyDescent="0.25">
      <c r="A54" s="179" t="s">
        <v>172</v>
      </c>
      <c r="B54" s="176">
        <v>1</v>
      </c>
      <c r="C54" s="176">
        <v>9</v>
      </c>
      <c r="D54" s="170">
        <v>1995000</v>
      </c>
      <c r="E54" s="170">
        <f t="shared" si="16"/>
        <v>17955000</v>
      </c>
      <c r="F54" s="172"/>
      <c r="G54" s="172"/>
      <c r="H54" s="183"/>
      <c r="I54" s="172"/>
      <c r="J54" s="172"/>
      <c r="K54" s="172"/>
      <c r="L54" s="172"/>
      <c r="M54" s="172"/>
      <c r="N54" s="184"/>
      <c r="O54" s="172">
        <f t="shared" si="17"/>
        <v>17955000</v>
      </c>
      <c r="P54" s="184"/>
      <c r="Q54" s="260"/>
      <c r="R54" s="260"/>
      <c r="S54" s="260"/>
      <c r="T54" s="260">
        <v>1463000</v>
      </c>
      <c r="U54" s="260">
        <v>1995000</v>
      </c>
      <c r="V54" s="172"/>
      <c r="W54" s="172"/>
      <c r="X54" s="184"/>
      <c r="Y54" s="172">
        <f t="shared" si="12"/>
        <v>3458000</v>
      </c>
      <c r="Z54" s="185">
        <f t="shared" si="14"/>
        <v>14497000</v>
      </c>
      <c r="AA54" s="186"/>
    </row>
    <row r="55" spans="1:27" s="136" customFormat="1" ht="15" customHeight="1" x14ac:dyDescent="0.25">
      <c r="A55" s="179" t="s">
        <v>173</v>
      </c>
      <c r="B55" s="176">
        <v>1</v>
      </c>
      <c r="C55" s="176">
        <v>9</v>
      </c>
      <c r="D55" s="170">
        <v>1995000</v>
      </c>
      <c r="E55" s="170">
        <f t="shared" si="16"/>
        <v>17955000</v>
      </c>
      <c r="F55" s="172"/>
      <c r="G55" s="172"/>
      <c r="H55" s="183"/>
      <c r="I55" s="172"/>
      <c r="J55" s="172"/>
      <c r="K55" s="172"/>
      <c r="L55" s="172"/>
      <c r="M55" s="172"/>
      <c r="N55" s="184"/>
      <c r="O55" s="172">
        <f t="shared" si="17"/>
        <v>17955000</v>
      </c>
      <c r="P55" s="184"/>
      <c r="Q55" s="260"/>
      <c r="R55" s="260"/>
      <c r="S55" s="260"/>
      <c r="T55" s="260">
        <v>1463000</v>
      </c>
      <c r="U55" s="260">
        <v>1995000</v>
      </c>
      <c r="V55" s="172"/>
      <c r="W55" s="172"/>
      <c r="X55" s="184"/>
      <c r="Y55" s="172">
        <f t="shared" si="12"/>
        <v>3458000</v>
      </c>
      <c r="Z55" s="185">
        <f t="shared" si="14"/>
        <v>14497000</v>
      </c>
      <c r="AA55" s="186"/>
    </row>
    <row r="56" spans="1:27" s="136" customFormat="1" ht="15" customHeight="1" x14ac:dyDescent="0.25">
      <c r="A56" s="179" t="s">
        <v>174</v>
      </c>
      <c r="B56" s="176">
        <v>1</v>
      </c>
      <c r="C56" s="176">
        <v>9</v>
      </c>
      <c r="D56" s="170">
        <v>1995000</v>
      </c>
      <c r="E56" s="170">
        <f t="shared" si="16"/>
        <v>17955000</v>
      </c>
      <c r="F56" s="172"/>
      <c r="G56" s="172"/>
      <c r="H56" s="183"/>
      <c r="I56" s="172"/>
      <c r="J56" s="172"/>
      <c r="K56" s="172"/>
      <c r="L56" s="172"/>
      <c r="M56" s="172"/>
      <c r="N56" s="184"/>
      <c r="O56" s="172">
        <f t="shared" si="17"/>
        <v>17955000</v>
      </c>
      <c r="P56" s="184"/>
      <c r="Q56" s="260"/>
      <c r="R56" s="260"/>
      <c r="S56" s="260"/>
      <c r="T56" s="260">
        <v>1463000</v>
      </c>
      <c r="U56" s="260">
        <v>1995000</v>
      </c>
      <c r="V56" s="172"/>
      <c r="W56" s="172"/>
      <c r="X56" s="184"/>
      <c r="Y56" s="172">
        <f t="shared" si="12"/>
        <v>3458000</v>
      </c>
      <c r="Z56" s="185">
        <f t="shared" si="14"/>
        <v>14497000</v>
      </c>
      <c r="AA56" s="186"/>
    </row>
    <row r="57" spans="1:27" s="136" customFormat="1" ht="15" customHeight="1" x14ac:dyDescent="0.25">
      <c r="A57" s="179" t="s">
        <v>175</v>
      </c>
      <c r="B57" s="176">
        <v>1</v>
      </c>
      <c r="C57" s="176">
        <v>9</v>
      </c>
      <c r="D57" s="170">
        <v>1995000</v>
      </c>
      <c r="E57" s="170">
        <f t="shared" si="16"/>
        <v>17955000</v>
      </c>
      <c r="F57" s="172"/>
      <c r="G57" s="172"/>
      <c r="H57" s="183"/>
      <c r="I57" s="172"/>
      <c r="J57" s="172"/>
      <c r="K57" s="172"/>
      <c r="L57" s="172"/>
      <c r="M57" s="172"/>
      <c r="N57" s="184"/>
      <c r="O57" s="172">
        <f t="shared" si="17"/>
        <v>17955000</v>
      </c>
      <c r="P57" s="184"/>
      <c r="Q57" s="260"/>
      <c r="R57" s="260"/>
      <c r="S57" s="260"/>
      <c r="T57" s="260">
        <v>1330000</v>
      </c>
      <c r="U57" s="260">
        <v>1995000</v>
      </c>
      <c r="V57" s="172"/>
      <c r="W57" s="172"/>
      <c r="X57" s="184"/>
      <c r="Y57" s="172">
        <f t="shared" si="12"/>
        <v>3325000</v>
      </c>
      <c r="Z57" s="185">
        <f t="shared" si="14"/>
        <v>14630000</v>
      </c>
      <c r="AA57" s="186"/>
    </row>
    <row r="58" spans="1:27" s="136" customFormat="1" ht="15" customHeight="1" x14ac:dyDescent="0.25">
      <c r="A58" s="179" t="s">
        <v>176</v>
      </c>
      <c r="B58" s="176">
        <v>1</v>
      </c>
      <c r="C58" s="176">
        <v>9</v>
      </c>
      <c r="D58" s="170">
        <v>1995000</v>
      </c>
      <c r="E58" s="170">
        <f t="shared" si="16"/>
        <v>17955000</v>
      </c>
      <c r="F58" s="172"/>
      <c r="G58" s="172"/>
      <c r="H58" s="183"/>
      <c r="I58" s="172"/>
      <c r="J58" s="172"/>
      <c r="K58" s="172"/>
      <c r="L58" s="172"/>
      <c r="M58" s="172"/>
      <c r="N58" s="184"/>
      <c r="O58" s="172">
        <f t="shared" si="17"/>
        <v>17955000</v>
      </c>
      <c r="P58" s="184"/>
      <c r="Q58" s="260"/>
      <c r="R58" s="260"/>
      <c r="S58" s="260"/>
      <c r="T58" s="260">
        <v>1130500</v>
      </c>
      <c r="U58" s="260">
        <v>1995000</v>
      </c>
      <c r="V58" s="172"/>
      <c r="W58" s="172"/>
      <c r="X58" s="184"/>
      <c r="Y58" s="172">
        <f t="shared" si="12"/>
        <v>3125500</v>
      </c>
      <c r="Z58" s="185">
        <f t="shared" si="14"/>
        <v>14829500</v>
      </c>
      <c r="AA58" s="186"/>
    </row>
    <row r="59" spans="1:27" s="136" customFormat="1" ht="15" customHeight="1" x14ac:dyDescent="0.25">
      <c r="A59" s="179" t="s">
        <v>177</v>
      </c>
      <c r="B59" s="176">
        <v>1</v>
      </c>
      <c r="C59" s="176">
        <v>9</v>
      </c>
      <c r="D59" s="170">
        <v>1995000</v>
      </c>
      <c r="E59" s="170">
        <f t="shared" si="16"/>
        <v>17955000</v>
      </c>
      <c r="F59" s="172"/>
      <c r="G59" s="172"/>
      <c r="H59" s="183"/>
      <c r="I59" s="172"/>
      <c r="J59" s="172"/>
      <c r="K59" s="172"/>
      <c r="L59" s="172"/>
      <c r="M59" s="172"/>
      <c r="N59" s="184"/>
      <c r="O59" s="172">
        <f t="shared" si="17"/>
        <v>17955000</v>
      </c>
      <c r="P59" s="184"/>
      <c r="Q59" s="260"/>
      <c r="R59" s="260"/>
      <c r="S59" s="260"/>
      <c r="T59" s="260">
        <v>1064000</v>
      </c>
      <c r="U59" s="260">
        <v>1995000</v>
      </c>
      <c r="V59" s="172"/>
      <c r="W59" s="172"/>
      <c r="X59" s="184"/>
      <c r="Y59" s="172">
        <f t="shared" si="12"/>
        <v>3059000</v>
      </c>
      <c r="Z59" s="185">
        <f t="shared" si="14"/>
        <v>14896000</v>
      </c>
      <c r="AA59" s="186"/>
    </row>
    <row r="60" spans="1:27" s="136" customFormat="1" ht="15" customHeight="1" x14ac:dyDescent="0.25">
      <c r="A60" s="179" t="s">
        <v>178</v>
      </c>
      <c r="B60" s="176">
        <v>1</v>
      </c>
      <c r="C60" s="176">
        <v>9</v>
      </c>
      <c r="D60" s="170">
        <v>1995000</v>
      </c>
      <c r="E60" s="170">
        <f t="shared" si="16"/>
        <v>17955000</v>
      </c>
      <c r="F60" s="172"/>
      <c r="G60" s="172"/>
      <c r="H60" s="183"/>
      <c r="I60" s="172"/>
      <c r="J60" s="172"/>
      <c r="K60" s="172"/>
      <c r="L60" s="172"/>
      <c r="M60" s="172"/>
      <c r="N60" s="184"/>
      <c r="O60" s="172">
        <f t="shared" si="17"/>
        <v>17955000</v>
      </c>
      <c r="P60" s="184"/>
      <c r="Q60" s="260"/>
      <c r="R60" s="260"/>
      <c r="S60" s="260"/>
      <c r="T60" s="260">
        <v>399000</v>
      </c>
      <c r="U60" s="260">
        <v>1995000</v>
      </c>
      <c r="V60" s="172"/>
      <c r="W60" s="172"/>
      <c r="X60" s="184"/>
      <c r="Y60" s="172">
        <f t="shared" si="12"/>
        <v>2394000</v>
      </c>
      <c r="Z60" s="185">
        <f t="shared" si="14"/>
        <v>15561000</v>
      </c>
      <c r="AA60" s="186"/>
    </row>
    <row r="61" spans="1:27" s="136" customFormat="1" ht="15" customHeight="1" x14ac:dyDescent="0.25">
      <c r="A61" s="167" t="s">
        <v>195</v>
      </c>
      <c r="B61" s="176">
        <v>1</v>
      </c>
      <c r="C61" s="176">
        <v>9</v>
      </c>
      <c r="D61" s="170">
        <v>1995000</v>
      </c>
      <c r="E61" s="170">
        <f t="shared" si="16"/>
        <v>17955000</v>
      </c>
      <c r="F61" s="172"/>
      <c r="G61" s="172"/>
      <c r="H61" s="183"/>
      <c r="I61" s="172"/>
      <c r="J61" s="172"/>
      <c r="K61" s="172"/>
      <c r="L61" s="172"/>
      <c r="M61" s="172"/>
      <c r="N61" s="184"/>
      <c r="O61" s="172">
        <f t="shared" si="17"/>
        <v>17955000</v>
      </c>
      <c r="P61" s="184"/>
      <c r="Q61" s="260"/>
      <c r="R61" s="260"/>
      <c r="S61" s="260"/>
      <c r="T61" s="260">
        <v>332500</v>
      </c>
      <c r="U61" s="260">
        <v>1995000</v>
      </c>
      <c r="V61" s="172"/>
      <c r="W61" s="172"/>
      <c r="X61" s="184"/>
      <c r="Y61" s="172">
        <f t="shared" si="12"/>
        <v>2327500</v>
      </c>
      <c r="Z61" s="185">
        <f t="shared" si="14"/>
        <v>15627500</v>
      </c>
      <c r="AA61" s="186"/>
    </row>
    <row r="62" spans="1:27" s="136" customFormat="1" ht="15" customHeight="1" x14ac:dyDescent="0.25">
      <c r="A62" s="167" t="s">
        <v>194</v>
      </c>
      <c r="B62" s="176">
        <v>1</v>
      </c>
      <c r="C62" s="176">
        <v>9</v>
      </c>
      <c r="D62" s="170">
        <v>1995000</v>
      </c>
      <c r="E62" s="170">
        <f t="shared" si="16"/>
        <v>17955000</v>
      </c>
      <c r="F62" s="172"/>
      <c r="G62" s="172"/>
      <c r="H62" s="183"/>
      <c r="I62" s="172"/>
      <c r="J62" s="172"/>
      <c r="K62" s="172"/>
      <c r="L62" s="172"/>
      <c r="M62" s="172"/>
      <c r="N62" s="184"/>
      <c r="O62" s="172">
        <f t="shared" si="17"/>
        <v>17955000</v>
      </c>
      <c r="P62" s="184"/>
      <c r="Q62" s="260"/>
      <c r="R62" s="260"/>
      <c r="S62" s="260"/>
      <c r="T62" s="260">
        <v>332500</v>
      </c>
      <c r="U62" s="260">
        <v>1995000</v>
      </c>
      <c r="V62" s="172"/>
      <c r="W62" s="172"/>
      <c r="X62" s="184"/>
      <c r="Y62" s="172">
        <f t="shared" si="12"/>
        <v>2327500</v>
      </c>
      <c r="Z62" s="185">
        <f t="shared" si="14"/>
        <v>15627500</v>
      </c>
      <c r="AA62" s="186"/>
    </row>
    <row r="63" spans="1:27" s="136" customFormat="1" ht="15" customHeight="1" x14ac:dyDescent="0.25">
      <c r="A63" s="167" t="s">
        <v>208</v>
      </c>
      <c r="B63" s="176">
        <v>1</v>
      </c>
      <c r="C63" s="176">
        <v>9</v>
      </c>
      <c r="D63" s="170">
        <v>1995000</v>
      </c>
      <c r="E63" s="170">
        <f t="shared" ref="E63" si="18">+B63*C63*D63</f>
        <v>17955000</v>
      </c>
      <c r="F63" s="172"/>
      <c r="G63" s="172"/>
      <c r="H63" s="183"/>
      <c r="I63" s="172"/>
      <c r="J63" s="172"/>
      <c r="K63" s="172"/>
      <c r="L63" s="172"/>
      <c r="M63" s="172"/>
      <c r="N63" s="184"/>
      <c r="O63" s="172">
        <f t="shared" si="17"/>
        <v>17955000</v>
      </c>
      <c r="P63" s="184"/>
      <c r="Q63" s="260"/>
      <c r="R63" s="260"/>
      <c r="S63" s="260"/>
      <c r="T63" s="260"/>
      <c r="U63" s="260">
        <v>1928500</v>
      </c>
      <c r="V63" s="172"/>
      <c r="W63" s="172"/>
      <c r="X63" s="184"/>
      <c r="Y63" s="172">
        <f t="shared" si="12"/>
        <v>1928500</v>
      </c>
      <c r="Z63" s="185">
        <f t="shared" si="14"/>
        <v>16026500</v>
      </c>
      <c r="AA63" s="186"/>
    </row>
    <row r="64" spans="1:27" s="136" customFormat="1" ht="15" customHeight="1" x14ac:dyDescent="0.25">
      <c r="A64" s="167" t="s">
        <v>209</v>
      </c>
      <c r="B64" s="176">
        <v>1</v>
      </c>
      <c r="C64" s="176">
        <v>9</v>
      </c>
      <c r="D64" s="170">
        <v>1995000</v>
      </c>
      <c r="E64" s="170">
        <f t="shared" ref="E64:E68" si="19">+B64*C64*D64</f>
        <v>17955000</v>
      </c>
      <c r="F64" s="172"/>
      <c r="G64" s="172"/>
      <c r="H64" s="183"/>
      <c r="I64" s="172"/>
      <c r="J64" s="172"/>
      <c r="K64" s="172"/>
      <c r="L64" s="172"/>
      <c r="M64" s="172"/>
      <c r="N64" s="184"/>
      <c r="O64" s="172">
        <f t="shared" si="17"/>
        <v>17955000</v>
      </c>
      <c r="P64" s="184"/>
      <c r="Q64" s="260"/>
      <c r="R64" s="260"/>
      <c r="S64" s="260"/>
      <c r="T64" s="260"/>
      <c r="U64" s="260">
        <v>1928500</v>
      </c>
      <c r="V64" s="172"/>
      <c r="W64" s="172"/>
      <c r="X64" s="184"/>
      <c r="Y64" s="172">
        <f t="shared" si="12"/>
        <v>1928500</v>
      </c>
      <c r="Z64" s="185">
        <f t="shared" si="14"/>
        <v>16026500</v>
      </c>
      <c r="AA64" s="186"/>
    </row>
    <row r="65" spans="1:27" s="136" customFormat="1" ht="15" customHeight="1" x14ac:dyDescent="0.25">
      <c r="A65" s="167" t="s">
        <v>210</v>
      </c>
      <c r="B65" s="176">
        <v>1</v>
      </c>
      <c r="C65" s="176">
        <v>9</v>
      </c>
      <c r="D65" s="170">
        <v>1995000</v>
      </c>
      <c r="E65" s="170">
        <f t="shared" si="19"/>
        <v>17955000</v>
      </c>
      <c r="F65" s="172"/>
      <c r="G65" s="172"/>
      <c r="H65" s="183"/>
      <c r="I65" s="172"/>
      <c r="J65" s="172"/>
      <c r="K65" s="172"/>
      <c r="L65" s="172"/>
      <c r="M65" s="172"/>
      <c r="N65" s="184"/>
      <c r="O65" s="172">
        <f t="shared" si="17"/>
        <v>17955000</v>
      </c>
      <c r="P65" s="184"/>
      <c r="Q65" s="260"/>
      <c r="R65" s="260"/>
      <c r="S65" s="260"/>
      <c r="T65" s="260"/>
      <c r="U65" s="260">
        <v>1729000</v>
      </c>
      <c r="V65" s="172"/>
      <c r="W65" s="172"/>
      <c r="X65" s="184"/>
      <c r="Y65" s="172">
        <f t="shared" si="12"/>
        <v>1729000</v>
      </c>
      <c r="Z65" s="185">
        <f t="shared" si="14"/>
        <v>16226000</v>
      </c>
      <c r="AA65" s="186"/>
    </row>
    <row r="66" spans="1:27" s="136" customFormat="1" ht="15" customHeight="1" x14ac:dyDescent="0.25">
      <c r="A66" s="167" t="s">
        <v>211</v>
      </c>
      <c r="B66" s="176">
        <v>1</v>
      </c>
      <c r="C66" s="176">
        <v>9</v>
      </c>
      <c r="D66" s="170">
        <v>1995000</v>
      </c>
      <c r="E66" s="170">
        <f t="shared" si="19"/>
        <v>17955000</v>
      </c>
      <c r="F66" s="172"/>
      <c r="G66" s="172"/>
      <c r="H66" s="183"/>
      <c r="I66" s="172"/>
      <c r="J66" s="172"/>
      <c r="K66" s="172"/>
      <c r="L66" s="172"/>
      <c r="M66" s="172"/>
      <c r="N66" s="184"/>
      <c r="O66" s="172">
        <f t="shared" si="17"/>
        <v>17955000</v>
      </c>
      <c r="P66" s="184"/>
      <c r="Q66" s="260"/>
      <c r="R66" s="260"/>
      <c r="S66" s="260"/>
      <c r="T66" s="260"/>
      <c r="U66" s="260">
        <v>1928500</v>
      </c>
      <c r="V66" s="172"/>
      <c r="W66" s="172"/>
      <c r="X66" s="184"/>
      <c r="Y66" s="172">
        <f t="shared" si="12"/>
        <v>1928500</v>
      </c>
      <c r="Z66" s="185">
        <f t="shared" si="14"/>
        <v>16026500</v>
      </c>
      <c r="AA66" s="186"/>
    </row>
    <row r="67" spans="1:27" s="136" customFormat="1" ht="15" customHeight="1" x14ac:dyDescent="0.25">
      <c r="A67" s="167" t="s">
        <v>212</v>
      </c>
      <c r="B67" s="176">
        <v>1</v>
      </c>
      <c r="C67" s="176">
        <v>9</v>
      </c>
      <c r="D67" s="170">
        <v>1995000</v>
      </c>
      <c r="E67" s="170">
        <f t="shared" si="19"/>
        <v>17955000</v>
      </c>
      <c r="F67" s="172"/>
      <c r="G67" s="172"/>
      <c r="H67" s="183"/>
      <c r="I67" s="172"/>
      <c r="J67" s="172"/>
      <c r="K67" s="172"/>
      <c r="L67" s="172"/>
      <c r="M67" s="172"/>
      <c r="N67" s="184"/>
      <c r="O67" s="172">
        <f t="shared" si="17"/>
        <v>17955000</v>
      </c>
      <c r="P67" s="184"/>
      <c r="Q67" s="260"/>
      <c r="R67" s="260"/>
      <c r="S67" s="260"/>
      <c r="T67" s="260"/>
      <c r="U67" s="260">
        <v>1263500</v>
      </c>
      <c r="V67" s="172"/>
      <c r="W67" s="172"/>
      <c r="X67" s="184"/>
      <c r="Y67" s="172">
        <f t="shared" si="12"/>
        <v>1263500</v>
      </c>
      <c r="Z67" s="185">
        <f t="shared" si="14"/>
        <v>16691500</v>
      </c>
      <c r="AA67" s="186"/>
    </row>
    <row r="68" spans="1:27" s="136" customFormat="1" ht="15" customHeight="1" x14ac:dyDescent="0.25">
      <c r="A68" s="167" t="s">
        <v>213</v>
      </c>
      <c r="B68" s="176">
        <v>1</v>
      </c>
      <c r="C68" s="176">
        <v>9</v>
      </c>
      <c r="D68" s="170">
        <v>1995000</v>
      </c>
      <c r="E68" s="170">
        <f t="shared" si="19"/>
        <v>17955000</v>
      </c>
      <c r="F68" s="172"/>
      <c r="G68" s="172"/>
      <c r="H68" s="183"/>
      <c r="I68" s="172"/>
      <c r="J68" s="172"/>
      <c r="K68" s="172"/>
      <c r="L68" s="172"/>
      <c r="M68" s="172"/>
      <c r="N68" s="184"/>
      <c r="O68" s="172">
        <f t="shared" si="17"/>
        <v>17955000</v>
      </c>
      <c r="P68" s="184"/>
      <c r="Q68" s="260"/>
      <c r="R68" s="260"/>
      <c r="S68" s="260"/>
      <c r="T68" s="260"/>
      <c r="U68" s="260">
        <v>1330000</v>
      </c>
      <c r="V68" s="172"/>
      <c r="W68" s="172"/>
      <c r="X68" s="184"/>
      <c r="Y68" s="172">
        <f t="shared" si="12"/>
        <v>1330000</v>
      </c>
      <c r="Z68" s="185">
        <f t="shared" si="14"/>
        <v>16625000</v>
      </c>
      <c r="AA68" s="186"/>
    </row>
    <row r="69" spans="1:27" s="136" customFormat="1" ht="15" customHeight="1" x14ac:dyDescent="0.25">
      <c r="A69" s="167" t="s">
        <v>220</v>
      </c>
      <c r="B69" s="176">
        <v>1</v>
      </c>
      <c r="C69" s="176">
        <v>9</v>
      </c>
      <c r="D69" s="170">
        <v>1995000</v>
      </c>
      <c r="E69" s="170">
        <f t="shared" ref="E69" si="20">+B69*C69*D69</f>
        <v>17955000</v>
      </c>
      <c r="F69" s="172"/>
      <c r="G69" s="172"/>
      <c r="H69" s="183"/>
      <c r="I69" s="172"/>
      <c r="J69" s="172"/>
      <c r="K69" s="172"/>
      <c r="L69" s="172"/>
      <c r="M69" s="172"/>
      <c r="N69" s="184"/>
      <c r="O69" s="172">
        <f>E69+H69+K69</f>
        <v>17955000</v>
      </c>
      <c r="P69" s="184"/>
      <c r="Q69" s="260"/>
      <c r="R69" s="260"/>
      <c r="S69" s="260"/>
      <c r="T69" s="260"/>
      <c r="U69" s="260">
        <v>1263500</v>
      </c>
      <c r="V69" s="172"/>
      <c r="W69" s="172"/>
      <c r="X69" s="184"/>
      <c r="Y69" s="172">
        <f t="shared" si="12"/>
        <v>1263500</v>
      </c>
      <c r="Z69" s="185">
        <f t="shared" si="14"/>
        <v>16691500</v>
      </c>
      <c r="AA69" s="186"/>
    </row>
    <row r="70" spans="1:27" s="136" customFormat="1" ht="15" customHeight="1" x14ac:dyDescent="0.25">
      <c r="A70" s="167" t="s">
        <v>218</v>
      </c>
      <c r="B70" s="176">
        <v>1</v>
      </c>
      <c r="C70" s="176">
        <v>7.5</v>
      </c>
      <c r="D70" s="170">
        <v>1995000</v>
      </c>
      <c r="E70" s="170">
        <f t="shared" ref="E70:E71" si="21">+B70*C70*D70</f>
        <v>14962500</v>
      </c>
      <c r="F70" s="172"/>
      <c r="G70" s="172"/>
      <c r="H70" s="183"/>
      <c r="I70" s="172"/>
      <c r="J70" s="172"/>
      <c r="K70" s="172"/>
      <c r="L70" s="172"/>
      <c r="M70" s="172"/>
      <c r="N70" s="184"/>
      <c r="O70" s="172">
        <f t="shared" si="17"/>
        <v>14962500</v>
      </c>
      <c r="P70" s="184"/>
      <c r="Q70" s="260"/>
      <c r="R70" s="260"/>
      <c r="S70" s="260"/>
      <c r="T70" s="260"/>
      <c r="U70" s="260">
        <v>266000</v>
      </c>
      <c r="V70" s="172"/>
      <c r="W70" s="172"/>
      <c r="X70" s="184"/>
      <c r="Y70" s="172">
        <f t="shared" si="12"/>
        <v>266000</v>
      </c>
      <c r="Z70" s="185">
        <f t="shared" si="14"/>
        <v>14696500</v>
      </c>
      <c r="AA70" s="186"/>
    </row>
    <row r="71" spans="1:27" s="136" customFormat="1" ht="15" customHeight="1" x14ac:dyDescent="0.25">
      <c r="A71" s="167" t="s">
        <v>219</v>
      </c>
      <c r="B71" s="176">
        <v>1</v>
      </c>
      <c r="C71" s="176">
        <v>7</v>
      </c>
      <c r="D71" s="170">
        <v>1995000</v>
      </c>
      <c r="E71" s="170">
        <f t="shared" si="21"/>
        <v>13965000</v>
      </c>
      <c r="F71" s="172"/>
      <c r="G71" s="172"/>
      <c r="H71" s="183"/>
      <c r="I71" s="172"/>
      <c r="J71" s="172"/>
      <c r="K71" s="172"/>
      <c r="L71" s="172"/>
      <c r="M71" s="172"/>
      <c r="N71" s="184"/>
      <c r="O71" s="172">
        <f t="shared" si="17"/>
        <v>13965000</v>
      </c>
      <c r="P71" s="184"/>
      <c r="Q71" s="260"/>
      <c r="R71" s="260"/>
      <c r="S71" s="260"/>
      <c r="T71" s="260"/>
      <c r="U71" s="260">
        <v>266000</v>
      </c>
      <c r="V71" s="172"/>
      <c r="W71" s="172"/>
      <c r="X71" s="184"/>
      <c r="Y71" s="172">
        <f t="shared" si="12"/>
        <v>266000</v>
      </c>
      <c r="Z71" s="185">
        <f t="shared" si="14"/>
        <v>13699000</v>
      </c>
      <c r="AA71" s="186"/>
    </row>
    <row r="72" spans="1:27" s="136" customFormat="1" ht="15" customHeight="1" x14ac:dyDescent="0.25">
      <c r="A72" s="167"/>
      <c r="B72" s="176"/>
      <c r="C72" s="176"/>
      <c r="D72" s="170"/>
      <c r="E72" s="170">
        <f t="shared" si="16"/>
        <v>0</v>
      </c>
      <c r="F72" s="172"/>
      <c r="G72" s="172"/>
      <c r="H72" s="183"/>
      <c r="I72" s="172"/>
      <c r="J72" s="172"/>
      <c r="K72" s="172"/>
      <c r="L72" s="172"/>
      <c r="M72" s="172"/>
      <c r="N72" s="184"/>
      <c r="O72" s="172">
        <f t="shared" si="17"/>
        <v>0</v>
      </c>
      <c r="P72" s="184"/>
      <c r="Q72" s="260"/>
      <c r="R72" s="260"/>
      <c r="S72" s="260"/>
      <c r="T72" s="260"/>
      <c r="U72" s="260"/>
      <c r="V72" s="172"/>
      <c r="W72" s="172"/>
      <c r="X72" s="184"/>
      <c r="Y72" s="172">
        <f t="shared" si="12"/>
        <v>0</v>
      </c>
      <c r="Z72" s="185">
        <f t="shared" si="14"/>
        <v>0</v>
      </c>
      <c r="AA72" s="186"/>
    </row>
    <row r="73" spans="1:27" s="136" customFormat="1" ht="15" customHeight="1" x14ac:dyDescent="0.25">
      <c r="A73" s="167"/>
      <c r="B73" s="176"/>
      <c r="C73" s="176"/>
      <c r="D73" s="170"/>
      <c r="E73" s="183"/>
      <c r="F73" s="172"/>
      <c r="G73" s="172"/>
      <c r="H73" s="183"/>
      <c r="I73" s="172"/>
      <c r="J73" s="172"/>
      <c r="K73" s="172"/>
      <c r="L73" s="172"/>
      <c r="M73" s="172"/>
      <c r="N73" s="184"/>
      <c r="O73" s="184"/>
      <c r="P73" s="184"/>
      <c r="Q73" s="260"/>
      <c r="R73" s="260"/>
      <c r="S73" s="260"/>
      <c r="T73" s="262"/>
      <c r="U73" s="262"/>
      <c r="V73" s="172"/>
      <c r="W73" s="172"/>
      <c r="X73" s="184"/>
      <c r="Y73" s="184"/>
      <c r="Z73" s="187"/>
      <c r="AA73" s="186"/>
    </row>
    <row r="74" spans="1:27" ht="15" customHeight="1" x14ac:dyDescent="0.25">
      <c r="A74" s="160" t="s">
        <v>20</v>
      </c>
      <c r="B74" s="161">
        <v>1</v>
      </c>
      <c r="C74" s="161">
        <v>12</v>
      </c>
      <c r="D74" s="162">
        <v>3600000</v>
      </c>
      <c r="E74" s="163">
        <f>+B74*C74*D74</f>
        <v>43200000</v>
      </c>
      <c r="F74" s="164">
        <v>0</v>
      </c>
      <c r="G74" s="164">
        <v>0</v>
      </c>
      <c r="H74" s="164">
        <v>0</v>
      </c>
      <c r="I74" s="164">
        <v>0</v>
      </c>
      <c r="J74" s="164">
        <v>0</v>
      </c>
      <c r="K74" s="165">
        <f>+K75</f>
        <v>0</v>
      </c>
      <c r="L74" s="164">
        <v>0</v>
      </c>
      <c r="M74" s="164">
        <v>0</v>
      </c>
      <c r="N74" s="165">
        <f>+E74</f>
        <v>43200000</v>
      </c>
      <c r="O74" s="165">
        <f>+O75+O76</f>
        <v>43200000</v>
      </c>
      <c r="P74" s="165">
        <f>N74-O74</f>
        <v>0</v>
      </c>
      <c r="Q74" s="259">
        <f>+Q75+Q76</f>
        <v>2640000</v>
      </c>
      <c r="R74" s="259">
        <f t="shared" ref="R74:X74" si="22">+R75+R76</f>
        <v>3600000</v>
      </c>
      <c r="S74" s="259">
        <f t="shared" si="22"/>
        <v>3600000</v>
      </c>
      <c r="T74" s="259">
        <f t="shared" si="22"/>
        <v>3600000</v>
      </c>
      <c r="U74" s="259">
        <f t="shared" si="22"/>
        <v>3120000</v>
      </c>
      <c r="V74" s="165">
        <f t="shared" si="22"/>
        <v>0</v>
      </c>
      <c r="W74" s="165">
        <f t="shared" si="22"/>
        <v>0</v>
      </c>
      <c r="X74" s="165">
        <f t="shared" si="22"/>
        <v>0</v>
      </c>
      <c r="Y74" s="165">
        <f>SUM(Q74:X74)</f>
        <v>16560000</v>
      </c>
      <c r="Z74" s="166">
        <f>+Z75+Z76</f>
        <v>26640000</v>
      </c>
      <c r="AA74" s="154"/>
    </row>
    <row r="75" spans="1:27" ht="15" customHeight="1" x14ac:dyDescent="0.25">
      <c r="A75" s="167" t="s">
        <v>192</v>
      </c>
      <c r="B75" s="180">
        <v>1</v>
      </c>
      <c r="C75" s="180">
        <v>4.5</v>
      </c>
      <c r="D75" s="181">
        <v>3600000</v>
      </c>
      <c r="E75" s="170">
        <f>+B75*C75*D75</f>
        <v>16200000</v>
      </c>
      <c r="F75" s="171"/>
      <c r="G75" s="171"/>
      <c r="H75" s="171"/>
      <c r="I75" s="171"/>
      <c r="J75" s="171"/>
      <c r="K75" s="171">
        <v>0</v>
      </c>
      <c r="L75" s="171"/>
      <c r="M75" s="171"/>
      <c r="N75" s="171"/>
      <c r="O75" s="171">
        <f t="shared" ref="O75:O76" si="23">E75+H75+K75</f>
        <v>16200000</v>
      </c>
      <c r="P75" s="171"/>
      <c r="Q75" s="261">
        <v>2640000</v>
      </c>
      <c r="R75" s="261">
        <v>3600000</v>
      </c>
      <c r="S75" s="261">
        <v>3600000</v>
      </c>
      <c r="T75" s="261">
        <f>960000+2640000</f>
        <v>3600000</v>
      </c>
      <c r="U75" s="261">
        <v>2760000</v>
      </c>
      <c r="V75" s="171">
        <v>0</v>
      </c>
      <c r="W75" s="171">
        <v>0</v>
      </c>
      <c r="X75" s="171">
        <v>0</v>
      </c>
      <c r="Y75" s="171">
        <f>SUM(Q75:X75)</f>
        <v>16200000</v>
      </c>
      <c r="Z75" s="173">
        <f>O75-Y75</f>
        <v>0</v>
      </c>
      <c r="AA75" s="154"/>
    </row>
    <row r="76" spans="1:27" ht="15" customHeight="1" x14ac:dyDescent="0.25">
      <c r="A76" s="167" t="s">
        <v>216</v>
      </c>
      <c r="B76" s="180"/>
      <c r="C76" s="180">
        <v>7.5</v>
      </c>
      <c r="D76" s="181">
        <v>3600000</v>
      </c>
      <c r="E76" s="170">
        <f>C76*D76</f>
        <v>27000000</v>
      </c>
      <c r="F76" s="171"/>
      <c r="G76" s="171"/>
      <c r="H76" s="171"/>
      <c r="I76" s="171"/>
      <c r="J76" s="171"/>
      <c r="K76" s="171"/>
      <c r="L76" s="171"/>
      <c r="M76" s="171"/>
      <c r="N76" s="171"/>
      <c r="O76" s="171">
        <f t="shared" si="23"/>
        <v>27000000</v>
      </c>
      <c r="P76" s="171"/>
      <c r="Q76" s="261"/>
      <c r="R76" s="261"/>
      <c r="S76" s="261"/>
      <c r="T76" s="261"/>
      <c r="U76" s="261">
        <v>360000</v>
      </c>
      <c r="V76" s="171"/>
      <c r="W76" s="171"/>
      <c r="X76" s="171"/>
      <c r="Y76" s="171">
        <f>SUM(Q76:X76)</f>
        <v>360000</v>
      </c>
      <c r="Z76" s="173">
        <f>O76-Y76</f>
        <v>26640000</v>
      </c>
      <c r="AA76" s="154"/>
    </row>
    <row r="77" spans="1:27" ht="15" customHeight="1" x14ac:dyDescent="0.25">
      <c r="A77" s="167"/>
      <c r="B77" s="168"/>
      <c r="C77" s="168"/>
      <c r="D77" s="169"/>
      <c r="E77" s="170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261"/>
      <c r="R77" s="261"/>
      <c r="S77" s="261"/>
      <c r="T77" s="261"/>
      <c r="U77" s="261"/>
      <c r="V77" s="171"/>
      <c r="W77" s="171"/>
      <c r="X77" s="171"/>
      <c r="Y77" s="171"/>
      <c r="Z77" s="178"/>
      <c r="AA77" s="154"/>
    </row>
    <row r="78" spans="1:27" ht="15" customHeight="1" x14ac:dyDescent="0.25">
      <c r="A78" s="160" t="s">
        <v>125</v>
      </c>
      <c r="B78" s="161">
        <v>1</v>
      </c>
      <c r="C78" s="161">
        <v>12</v>
      </c>
      <c r="D78" s="162">
        <v>4110000</v>
      </c>
      <c r="E78" s="163">
        <f>+B78*C78*D78</f>
        <v>49320000</v>
      </c>
      <c r="F78" s="164">
        <v>0</v>
      </c>
      <c r="G78" s="164">
        <v>0</v>
      </c>
      <c r="H78" s="164">
        <v>0</v>
      </c>
      <c r="I78" s="164">
        <v>0</v>
      </c>
      <c r="J78" s="164">
        <v>0</v>
      </c>
      <c r="K78" s="164">
        <f>+K79</f>
        <v>0</v>
      </c>
      <c r="L78" s="164">
        <v>0</v>
      </c>
      <c r="M78" s="164">
        <v>0</v>
      </c>
      <c r="N78" s="165">
        <f>+E78</f>
        <v>49320000</v>
      </c>
      <c r="O78" s="165">
        <f>+O79+O80</f>
        <v>49320000</v>
      </c>
      <c r="P78" s="165">
        <f>N78-O78</f>
        <v>0</v>
      </c>
      <c r="Q78" s="259">
        <f>+Q79+Q80</f>
        <v>3014000</v>
      </c>
      <c r="R78" s="259">
        <f t="shared" ref="R78:X78" si="24">+R79+R80</f>
        <v>4110000</v>
      </c>
      <c r="S78" s="259">
        <f t="shared" si="24"/>
        <v>4110000</v>
      </c>
      <c r="T78" s="259">
        <f t="shared" si="24"/>
        <v>4110000</v>
      </c>
      <c r="U78" s="259">
        <f t="shared" si="24"/>
        <v>3562000</v>
      </c>
      <c r="V78" s="165">
        <f t="shared" si="24"/>
        <v>0</v>
      </c>
      <c r="W78" s="165">
        <f t="shared" si="24"/>
        <v>0</v>
      </c>
      <c r="X78" s="165">
        <f t="shared" si="24"/>
        <v>0</v>
      </c>
      <c r="Y78" s="165">
        <f t="shared" ref="Y78:Y83" si="25">SUM(Q78:X78)</f>
        <v>18906000</v>
      </c>
      <c r="Z78" s="166">
        <f>+Z79+Z80</f>
        <v>30414000</v>
      </c>
      <c r="AA78" s="154"/>
    </row>
    <row r="79" spans="1:27" ht="15" customHeight="1" x14ac:dyDescent="0.25">
      <c r="A79" s="167" t="s">
        <v>193</v>
      </c>
      <c r="B79" s="168">
        <v>1</v>
      </c>
      <c r="C79" s="168">
        <v>4.5</v>
      </c>
      <c r="D79" s="169">
        <v>4110000</v>
      </c>
      <c r="E79" s="171">
        <f>+B79*C79*D79</f>
        <v>18495000</v>
      </c>
      <c r="F79" s="171"/>
      <c r="G79" s="171"/>
      <c r="H79" s="171"/>
      <c r="I79" s="171"/>
      <c r="J79" s="171"/>
      <c r="K79" s="171"/>
      <c r="L79" s="171"/>
      <c r="M79" s="171"/>
      <c r="N79" s="171"/>
      <c r="O79" s="171">
        <f t="shared" ref="O79:O80" si="26">E79+H79+K79</f>
        <v>18495000</v>
      </c>
      <c r="P79" s="171"/>
      <c r="Q79" s="261">
        <v>3014000</v>
      </c>
      <c r="R79" s="261">
        <v>4110000</v>
      </c>
      <c r="S79" s="261">
        <v>4110000</v>
      </c>
      <c r="T79" s="261">
        <f>1096000+3014000</f>
        <v>4110000</v>
      </c>
      <c r="U79" s="261">
        <v>3151000</v>
      </c>
      <c r="V79" s="171">
        <v>0</v>
      </c>
      <c r="W79" s="171">
        <v>0</v>
      </c>
      <c r="X79" s="171">
        <v>0</v>
      </c>
      <c r="Y79" s="171">
        <f t="shared" si="25"/>
        <v>18495000</v>
      </c>
      <c r="Z79" s="173">
        <f>O79-Y79</f>
        <v>0</v>
      </c>
      <c r="AA79" s="154"/>
    </row>
    <row r="80" spans="1:27" ht="15" customHeight="1" x14ac:dyDescent="0.25">
      <c r="A80" s="167" t="s">
        <v>217</v>
      </c>
      <c r="B80" s="168"/>
      <c r="C80" s="168">
        <v>7.5</v>
      </c>
      <c r="D80" s="169">
        <v>4110000</v>
      </c>
      <c r="E80" s="171">
        <f>C80*D80</f>
        <v>30825000</v>
      </c>
      <c r="F80" s="171"/>
      <c r="G80" s="171"/>
      <c r="H80" s="171"/>
      <c r="I80" s="171"/>
      <c r="J80" s="171"/>
      <c r="K80" s="171"/>
      <c r="L80" s="171"/>
      <c r="M80" s="171"/>
      <c r="N80" s="171"/>
      <c r="O80" s="171">
        <f t="shared" si="26"/>
        <v>30825000</v>
      </c>
      <c r="P80" s="171"/>
      <c r="Q80" s="261"/>
      <c r="R80" s="261"/>
      <c r="S80" s="261"/>
      <c r="T80" s="261"/>
      <c r="U80" s="261">
        <v>411000</v>
      </c>
      <c r="V80" s="171"/>
      <c r="W80" s="171"/>
      <c r="X80" s="171"/>
      <c r="Y80" s="171">
        <f t="shared" si="25"/>
        <v>411000</v>
      </c>
      <c r="Z80" s="173">
        <f>O80-Y80</f>
        <v>30414000</v>
      </c>
      <c r="AA80" s="154"/>
    </row>
    <row r="81" spans="1:28" ht="15" customHeight="1" x14ac:dyDescent="0.25">
      <c r="A81" s="160" t="s">
        <v>125</v>
      </c>
      <c r="B81" s="161">
        <v>2</v>
      </c>
      <c r="C81" s="161">
        <v>9</v>
      </c>
      <c r="D81" s="162">
        <v>4110000</v>
      </c>
      <c r="E81" s="165">
        <f>+B81*C81*D81</f>
        <v>73980000</v>
      </c>
      <c r="F81" s="164"/>
      <c r="G81" s="164"/>
      <c r="H81" s="164"/>
      <c r="I81" s="164"/>
      <c r="J81" s="164"/>
      <c r="K81" s="164"/>
      <c r="L81" s="164"/>
      <c r="M81" s="164"/>
      <c r="N81" s="165">
        <f>+E81</f>
        <v>73980000</v>
      </c>
      <c r="O81" s="165">
        <f>SUM(O82:O83)</f>
        <v>73980000</v>
      </c>
      <c r="P81" s="165">
        <f>N81-O81</f>
        <v>0</v>
      </c>
      <c r="Q81" s="259">
        <f>+Q82+Q83</f>
        <v>0</v>
      </c>
      <c r="R81" s="259">
        <f t="shared" ref="R81:X81" si="27">+R82+R83</f>
        <v>0</v>
      </c>
      <c r="S81" s="259">
        <f t="shared" si="27"/>
        <v>0</v>
      </c>
      <c r="T81" s="259">
        <f t="shared" si="27"/>
        <v>2329000</v>
      </c>
      <c r="U81" s="259">
        <f t="shared" si="27"/>
        <v>8083000</v>
      </c>
      <c r="V81" s="165">
        <f t="shared" si="27"/>
        <v>0</v>
      </c>
      <c r="W81" s="165">
        <f t="shared" si="27"/>
        <v>0</v>
      </c>
      <c r="X81" s="165">
        <f t="shared" si="27"/>
        <v>0</v>
      </c>
      <c r="Y81" s="165">
        <f t="shared" si="25"/>
        <v>10412000</v>
      </c>
      <c r="Z81" s="166">
        <f>SUM(Z82:Z83)</f>
        <v>63568000</v>
      </c>
      <c r="AA81" s="154"/>
    </row>
    <row r="82" spans="1:28" ht="15" customHeight="1" x14ac:dyDescent="0.25">
      <c r="A82" s="179" t="s">
        <v>179</v>
      </c>
      <c r="B82" s="168">
        <v>1</v>
      </c>
      <c r="C82" s="168">
        <v>9</v>
      </c>
      <c r="D82" s="169">
        <v>4110000</v>
      </c>
      <c r="E82" s="171">
        <f>+B82*C82*D82</f>
        <v>36990000</v>
      </c>
      <c r="F82" s="171"/>
      <c r="G82" s="171"/>
      <c r="H82" s="171"/>
      <c r="I82" s="171"/>
      <c r="J82" s="171"/>
      <c r="K82" s="171"/>
      <c r="L82" s="171"/>
      <c r="M82" s="171"/>
      <c r="N82" s="171"/>
      <c r="O82" s="182">
        <f t="shared" ref="O82:O83" si="28">E82+H82</f>
        <v>36990000</v>
      </c>
      <c r="P82" s="171"/>
      <c r="Q82" s="261"/>
      <c r="R82" s="261"/>
      <c r="S82" s="261"/>
      <c r="T82" s="261">
        <v>2329000</v>
      </c>
      <c r="U82" s="261">
        <v>4110000</v>
      </c>
      <c r="V82" s="171"/>
      <c r="W82" s="171"/>
      <c r="X82" s="171"/>
      <c r="Y82" s="171">
        <f t="shared" si="25"/>
        <v>6439000</v>
      </c>
      <c r="Z82" s="173">
        <f>O82-Y82</f>
        <v>30551000</v>
      </c>
      <c r="AA82" s="154"/>
    </row>
    <row r="83" spans="1:28" ht="15" customHeight="1" x14ac:dyDescent="0.25">
      <c r="A83" s="167" t="s">
        <v>226</v>
      </c>
      <c r="B83" s="168">
        <v>1</v>
      </c>
      <c r="C83" s="168">
        <v>9</v>
      </c>
      <c r="D83" s="169">
        <v>4110000</v>
      </c>
      <c r="E83" s="171">
        <f>+B83*C83*D83</f>
        <v>36990000</v>
      </c>
      <c r="F83" s="171"/>
      <c r="G83" s="171"/>
      <c r="H83" s="171"/>
      <c r="I83" s="171"/>
      <c r="J83" s="171"/>
      <c r="K83" s="171"/>
      <c r="L83" s="171"/>
      <c r="M83" s="171"/>
      <c r="N83" s="171"/>
      <c r="O83" s="182">
        <f t="shared" si="28"/>
        <v>36990000</v>
      </c>
      <c r="P83" s="171"/>
      <c r="Q83" s="261"/>
      <c r="R83" s="261"/>
      <c r="S83" s="261"/>
      <c r="T83" s="261"/>
      <c r="U83" s="261">
        <v>3973000</v>
      </c>
      <c r="V83" s="171"/>
      <c r="W83" s="171"/>
      <c r="X83" s="171"/>
      <c r="Y83" s="171">
        <f t="shared" si="25"/>
        <v>3973000</v>
      </c>
      <c r="Z83" s="173">
        <f>O83-Y83</f>
        <v>33017000</v>
      </c>
      <c r="AA83" s="154"/>
    </row>
    <row r="84" spans="1:28" ht="15" customHeight="1" x14ac:dyDescent="0.25">
      <c r="A84" s="167"/>
      <c r="B84" s="168"/>
      <c r="C84" s="168"/>
      <c r="D84" s="169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82"/>
      <c r="P84" s="171"/>
      <c r="Q84" s="261"/>
      <c r="R84" s="261"/>
      <c r="S84" s="261"/>
      <c r="T84" s="261"/>
      <c r="U84" s="261"/>
      <c r="V84" s="171"/>
      <c r="W84" s="171"/>
      <c r="X84" s="171"/>
      <c r="Y84" s="171"/>
      <c r="Z84" s="173"/>
      <c r="AA84" s="154"/>
    </row>
    <row r="85" spans="1:28" ht="15" customHeight="1" x14ac:dyDescent="0.25">
      <c r="A85" s="160" t="s">
        <v>126</v>
      </c>
      <c r="B85" s="161">
        <v>4</v>
      </c>
      <c r="C85" s="161">
        <v>9</v>
      </c>
      <c r="D85" s="162">
        <v>1995000</v>
      </c>
      <c r="E85" s="163">
        <v>39900000</v>
      </c>
      <c r="F85" s="164">
        <v>0</v>
      </c>
      <c r="G85" s="164">
        <v>0</v>
      </c>
      <c r="H85" s="165">
        <f>+H90</f>
        <v>0</v>
      </c>
      <c r="I85" s="164">
        <v>0</v>
      </c>
      <c r="J85" s="164">
        <v>0</v>
      </c>
      <c r="K85" s="164">
        <f>+K90</f>
        <v>0</v>
      </c>
      <c r="L85" s="164">
        <v>0</v>
      </c>
      <c r="M85" s="164">
        <v>0</v>
      </c>
      <c r="N85" s="165">
        <f>+E85</f>
        <v>39900000</v>
      </c>
      <c r="O85" s="165">
        <f>SUM(O86:O89)</f>
        <v>39900000</v>
      </c>
      <c r="P85" s="165">
        <f>N85-O85</f>
        <v>0</v>
      </c>
      <c r="Q85" s="259">
        <f>+Q86+Q87+Q88+Q89</f>
        <v>0</v>
      </c>
      <c r="R85" s="259">
        <f t="shared" ref="R85:X85" si="29">+R86+R87+R88+R89</f>
        <v>0</v>
      </c>
      <c r="S85" s="259">
        <f t="shared" si="29"/>
        <v>0</v>
      </c>
      <c r="T85" s="259">
        <f t="shared" si="29"/>
        <v>1452360.0000000002</v>
      </c>
      <c r="U85" s="259">
        <f t="shared" si="29"/>
        <v>3500560</v>
      </c>
      <c r="V85" s="165">
        <f t="shared" si="29"/>
        <v>0</v>
      </c>
      <c r="W85" s="165">
        <f t="shared" si="29"/>
        <v>0</v>
      </c>
      <c r="X85" s="165">
        <f t="shared" si="29"/>
        <v>0</v>
      </c>
      <c r="Y85" s="165">
        <f>SUM(Q85:X85)</f>
        <v>4952920</v>
      </c>
      <c r="Z85" s="166">
        <f>SUM(Z86:Z89)</f>
        <v>34947080</v>
      </c>
      <c r="AA85" s="154"/>
    </row>
    <row r="86" spans="1:28" s="136" customFormat="1" ht="15" customHeight="1" x14ac:dyDescent="0.25">
      <c r="A86" s="188" t="s">
        <v>180</v>
      </c>
      <c r="B86" s="180">
        <v>1</v>
      </c>
      <c r="C86" s="180">
        <v>9</v>
      </c>
      <c r="D86" s="181">
        <v>1995000</v>
      </c>
      <c r="E86" s="181">
        <v>9975000</v>
      </c>
      <c r="F86" s="182"/>
      <c r="G86" s="182"/>
      <c r="H86" s="189"/>
      <c r="I86" s="182"/>
      <c r="J86" s="182"/>
      <c r="K86" s="182"/>
      <c r="L86" s="182"/>
      <c r="M86" s="182"/>
      <c r="N86" s="189"/>
      <c r="O86" s="171">
        <f t="shared" ref="O86:O89" si="30">E86+H86+K86</f>
        <v>9975000</v>
      </c>
      <c r="P86" s="189"/>
      <c r="Q86" s="263"/>
      <c r="R86" s="263"/>
      <c r="S86" s="263"/>
      <c r="T86" s="263">
        <f>(1263500*56%)</f>
        <v>707560.00000000012</v>
      </c>
      <c r="U86" s="263">
        <f>(1995000*56%)</f>
        <v>1117200</v>
      </c>
      <c r="V86" s="182"/>
      <c r="W86" s="182"/>
      <c r="X86" s="189"/>
      <c r="Y86" s="171">
        <f>SUM(Q86:X86)</f>
        <v>1824760</v>
      </c>
      <c r="Z86" s="173">
        <f>O86-Y86</f>
        <v>8150240</v>
      </c>
      <c r="AA86" s="186"/>
    </row>
    <row r="87" spans="1:28" s="136" customFormat="1" ht="15" customHeight="1" x14ac:dyDescent="0.25">
      <c r="A87" s="188" t="s">
        <v>181</v>
      </c>
      <c r="B87" s="180">
        <v>1</v>
      </c>
      <c r="C87" s="180">
        <v>9</v>
      </c>
      <c r="D87" s="181">
        <v>1995000</v>
      </c>
      <c r="E87" s="181">
        <v>9975000</v>
      </c>
      <c r="F87" s="182"/>
      <c r="G87" s="182"/>
      <c r="H87" s="189"/>
      <c r="I87" s="182"/>
      <c r="J87" s="182"/>
      <c r="K87" s="182"/>
      <c r="L87" s="182"/>
      <c r="M87" s="182"/>
      <c r="N87" s="189"/>
      <c r="O87" s="171">
        <f t="shared" si="30"/>
        <v>9975000</v>
      </c>
      <c r="P87" s="189"/>
      <c r="Q87" s="263"/>
      <c r="R87" s="263"/>
      <c r="S87" s="263"/>
      <c r="T87" s="263">
        <f>(731500*56%)</f>
        <v>409640.00000000006</v>
      </c>
      <c r="U87" s="263">
        <f t="shared" ref="U87:U88" si="31">(1995000*56%)</f>
        <v>1117200</v>
      </c>
      <c r="V87" s="182"/>
      <c r="W87" s="182"/>
      <c r="X87" s="189"/>
      <c r="Y87" s="171">
        <f>SUM(Q87:X87)</f>
        <v>1526840</v>
      </c>
      <c r="Z87" s="173">
        <f>O87-Y87</f>
        <v>8448160</v>
      </c>
      <c r="AA87" s="186"/>
    </row>
    <row r="88" spans="1:28" s="136" customFormat="1" ht="15" customHeight="1" x14ac:dyDescent="0.25">
      <c r="A88" s="188" t="s">
        <v>182</v>
      </c>
      <c r="B88" s="180">
        <v>1</v>
      </c>
      <c r="C88" s="180">
        <v>9</v>
      </c>
      <c r="D88" s="181">
        <v>1995000</v>
      </c>
      <c r="E88" s="181">
        <v>9975000</v>
      </c>
      <c r="F88" s="182"/>
      <c r="G88" s="182"/>
      <c r="H88" s="190"/>
      <c r="I88" s="182"/>
      <c r="J88" s="182"/>
      <c r="K88" s="182"/>
      <c r="L88" s="182"/>
      <c r="M88" s="182"/>
      <c r="N88" s="189"/>
      <c r="O88" s="171">
        <f t="shared" si="30"/>
        <v>9975000</v>
      </c>
      <c r="P88" s="189"/>
      <c r="Q88" s="263"/>
      <c r="R88" s="263"/>
      <c r="S88" s="263"/>
      <c r="T88" s="263">
        <f>(598500*56%)</f>
        <v>335160.00000000006</v>
      </c>
      <c r="U88" s="263">
        <f t="shared" si="31"/>
        <v>1117200</v>
      </c>
      <c r="V88" s="182"/>
      <c r="W88" s="182"/>
      <c r="X88" s="189"/>
      <c r="Y88" s="171">
        <f>SUM(Q88:X88)</f>
        <v>1452360</v>
      </c>
      <c r="Z88" s="173">
        <f>O88-Y88</f>
        <v>8522640</v>
      </c>
      <c r="AA88" s="186"/>
    </row>
    <row r="89" spans="1:28" s="136" customFormat="1" ht="15" customHeight="1" x14ac:dyDescent="0.25">
      <c r="A89" s="191" t="s">
        <v>221</v>
      </c>
      <c r="B89" s="180">
        <v>1</v>
      </c>
      <c r="C89" s="180">
        <v>9</v>
      </c>
      <c r="D89" s="181">
        <v>1995000</v>
      </c>
      <c r="E89" s="181">
        <v>9975000</v>
      </c>
      <c r="F89" s="182"/>
      <c r="G89" s="182"/>
      <c r="H89" s="189"/>
      <c r="I89" s="182"/>
      <c r="J89" s="182"/>
      <c r="K89" s="182"/>
      <c r="L89" s="182"/>
      <c r="M89" s="182"/>
      <c r="N89" s="189"/>
      <c r="O89" s="171">
        <f t="shared" si="30"/>
        <v>9975000</v>
      </c>
      <c r="P89" s="189"/>
      <c r="Q89" s="263"/>
      <c r="R89" s="263"/>
      <c r="S89" s="263"/>
      <c r="T89" s="263"/>
      <c r="U89" s="263">
        <f>(266000*56%)</f>
        <v>148960</v>
      </c>
      <c r="V89" s="182"/>
      <c r="W89" s="182"/>
      <c r="X89" s="189"/>
      <c r="Y89" s="171">
        <f>SUM(Q89:X89)</f>
        <v>148960</v>
      </c>
      <c r="Z89" s="173">
        <f>O89-Y89</f>
        <v>9826040</v>
      </c>
      <c r="AA89" s="186"/>
    </row>
    <row r="90" spans="1:28" ht="15" customHeight="1" x14ac:dyDescent="0.25">
      <c r="A90" s="167"/>
      <c r="B90" s="168"/>
      <c r="C90" s="168"/>
      <c r="D90" s="192"/>
      <c r="E90" s="171"/>
      <c r="F90" s="171"/>
      <c r="G90" s="171"/>
      <c r="H90" s="171">
        <v>0</v>
      </c>
      <c r="I90" s="171"/>
      <c r="J90" s="171"/>
      <c r="K90" s="171"/>
      <c r="L90" s="171"/>
      <c r="M90" s="171"/>
      <c r="N90" s="171"/>
      <c r="O90" s="171"/>
      <c r="P90" s="171"/>
      <c r="Q90" s="261"/>
      <c r="R90" s="261"/>
      <c r="S90" s="261"/>
      <c r="T90" s="261"/>
      <c r="U90" s="261"/>
      <c r="V90" s="171"/>
      <c r="W90" s="171"/>
      <c r="X90" s="171"/>
      <c r="Y90" s="171"/>
      <c r="Z90" s="178"/>
      <c r="AA90" s="154"/>
    </row>
    <row r="91" spans="1:28" ht="15" customHeight="1" x14ac:dyDescent="0.25">
      <c r="A91" s="160" t="s">
        <v>127</v>
      </c>
      <c r="B91" s="161">
        <v>8</v>
      </c>
      <c r="C91" s="161">
        <v>9</v>
      </c>
      <c r="D91" s="162">
        <v>1590000</v>
      </c>
      <c r="E91" s="163">
        <v>63600000</v>
      </c>
      <c r="F91" s="164">
        <v>0</v>
      </c>
      <c r="G91" s="164">
        <v>0</v>
      </c>
      <c r="H91" s="165">
        <f>+H100</f>
        <v>0</v>
      </c>
      <c r="I91" s="164">
        <v>0</v>
      </c>
      <c r="J91" s="164">
        <v>0</v>
      </c>
      <c r="K91" s="164">
        <f>+K100</f>
        <v>0</v>
      </c>
      <c r="L91" s="164">
        <v>0</v>
      </c>
      <c r="M91" s="164">
        <v>0</v>
      </c>
      <c r="N91" s="165">
        <f>+E91</f>
        <v>63600000</v>
      </c>
      <c r="O91" s="165">
        <f>SUM(O92:O99)</f>
        <v>63600000</v>
      </c>
      <c r="P91" s="165">
        <f>N91-O91</f>
        <v>0</v>
      </c>
      <c r="Q91" s="259">
        <f>+Q92+Q93+Q94+Q95+Q96+Q97+Q98+Q99</f>
        <v>0</v>
      </c>
      <c r="R91" s="259">
        <f t="shared" ref="R91:X91" si="32">+R92+R93+R94+R95+R96+R97+R98+R99</f>
        <v>0</v>
      </c>
      <c r="S91" s="259">
        <f t="shared" si="32"/>
        <v>0</v>
      </c>
      <c r="T91" s="259">
        <f t="shared" si="32"/>
        <v>2315040.0000000005</v>
      </c>
      <c r="U91" s="259">
        <f t="shared" si="32"/>
        <v>5906320.0000000009</v>
      </c>
      <c r="V91" s="165">
        <f t="shared" si="32"/>
        <v>0</v>
      </c>
      <c r="W91" s="165">
        <f t="shared" si="32"/>
        <v>0</v>
      </c>
      <c r="X91" s="165">
        <f t="shared" si="32"/>
        <v>0</v>
      </c>
      <c r="Y91" s="165">
        <f t="shared" ref="Y91:Y99" si="33">SUM(Q91:X91)</f>
        <v>8221360.0000000019</v>
      </c>
      <c r="Z91" s="166">
        <f>SUM(Z92:Z99)</f>
        <v>55378640</v>
      </c>
      <c r="AA91" s="154"/>
    </row>
    <row r="92" spans="1:28" s="136" customFormat="1" ht="15" customHeight="1" x14ac:dyDescent="0.25">
      <c r="A92" s="188" t="s">
        <v>183</v>
      </c>
      <c r="B92" s="180">
        <v>1</v>
      </c>
      <c r="C92" s="180">
        <v>9</v>
      </c>
      <c r="D92" s="181">
        <v>1590000</v>
      </c>
      <c r="E92" s="181">
        <v>7950000</v>
      </c>
      <c r="F92" s="182"/>
      <c r="G92" s="182"/>
      <c r="H92" s="189"/>
      <c r="I92" s="182"/>
      <c r="J92" s="182"/>
      <c r="K92" s="182"/>
      <c r="L92" s="182"/>
      <c r="M92" s="182"/>
      <c r="N92" s="189"/>
      <c r="O92" s="171">
        <f t="shared" ref="O92:O99" si="34">E92+H92+K92</f>
        <v>7950000</v>
      </c>
      <c r="P92" s="189"/>
      <c r="Q92" s="263"/>
      <c r="R92" s="263"/>
      <c r="S92" s="263"/>
      <c r="T92" s="263">
        <f>318000*56%</f>
        <v>178080.00000000003</v>
      </c>
      <c r="U92" s="263">
        <f>1590000*56%</f>
        <v>890400.00000000012</v>
      </c>
      <c r="V92" s="182"/>
      <c r="W92" s="182"/>
      <c r="X92" s="189"/>
      <c r="Y92" s="171">
        <f t="shared" si="33"/>
        <v>1068480.0000000002</v>
      </c>
      <c r="Z92" s="173">
        <f t="shared" ref="Z92:Z99" si="35">O92-Y92</f>
        <v>6881520</v>
      </c>
      <c r="AA92" s="186"/>
      <c r="AB92" s="186"/>
    </row>
    <row r="93" spans="1:28" s="136" customFormat="1" ht="15" customHeight="1" x14ac:dyDescent="0.25">
      <c r="A93" s="188" t="s">
        <v>184</v>
      </c>
      <c r="B93" s="180">
        <v>1</v>
      </c>
      <c r="C93" s="180">
        <v>9</v>
      </c>
      <c r="D93" s="181">
        <v>1590000</v>
      </c>
      <c r="E93" s="181">
        <v>7950000</v>
      </c>
      <c r="F93" s="182"/>
      <c r="G93" s="182"/>
      <c r="H93" s="189"/>
      <c r="I93" s="182"/>
      <c r="J93" s="182"/>
      <c r="K93" s="182"/>
      <c r="L93" s="182"/>
      <c r="M93" s="182"/>
      <c r="N93" s="189"/>
      <c r="O93" s="171">
        <f t="shared" si="34"/>
        <v>7950000</v>
      </c>
      <c r="P93" s="189"/>
      <c r="Q93" s="263"/>
      <c r="R93" s="263"/>
      <c r="S93" s="263"/>
      <c r="T93" s="263">
        <f>1166000*56%</f>
        <v>652960.00000000012</v>
      </c>
      <c r="U93" s="263">
        <f t="shared" ref="U93:U97" si="36">1590000*56%</f>
        <v>890400.00000000012</v>
      </c>
      <c r="V93" s="182"/>
      <c r="W93" s="182"/>
      <c r="X93" s="189"/>
      <c r="Y93" s="171">
        <f t="shared" si="33"/>
        <v>1543360.0000000002</v>
      </c>
      <c r="Z93" s="173">
        <f t="shared" si="35"/>
        <v>6406640</v>
      </c>
      <c r="AA93" s="186"/>
    </row>
    <row r="94" spans="1:28" s="136" customFormat="1" ht="15" customHeight="1" x14ac:dyDescent="0.25">
      <c r="A94" s="188" t="s">
        <v>185</v>
      </c>
      <c r="B94" s="180">
        <v>1</v>
      </c>
      <c r="C94" s="180">
        <v>9</v>
      </c>
      <c r="D94" s="181">
        <v>1590000</v>
      </c>
      <c r="E94" s="181">
        <v>7950000</v>
      </c>
      <c r="F94" s="182"/>
      <c r="G94" s="182"/>
      <c r="H94" s="189"/>
      <c r="I94" s="182"/>
      <c r="J94" s="182"/>
      <c r="K94" s="182"/>
      <c r="L94" s="182"/>
      <c r="M94" s="182"/>
      <c r="N94" s="189"/>
      <c r="O94" s="171">
        <f t="shared" si="34"/>
        <v>7950000</v>
      </c>
      <c r="P94" s="189"/>
      <c r="Q94" s="263"/>
      <c r="R94" s="263"/>
      <c r="S94" s="263"/>
      <c r="T94" s="263">
        <f>901000*56%</f>
        <v>504560.00000000006</v>
      </c>
      <c r="U94" s="263">
        <f t="shared" si="36"/>
        <v>890400.00000000012</v>
      </c>
      <c r="V94" s="182"/>
      <c r="W94" s="182"/>
      <c r="X94" s="189"/>
      <c r="Y94" s="171">
        <f t="shared" si="33"/>
        <v>1394960.0000000002</v>
      </c>
      <c r="Z94" s="173">
        <f t="shared" si="35"/>
        <v>6555040</v>
      </c>
      <c r="AA94" s="186"/>
    </row>
    <row r="95" spans="1:28" s="136" customFormat="1" ht="15" customHeight="1" x14ac:dyDescent="0.25">
      <c r="A95" s="188" t="s">
        <v>186</v>
      </c>
      <c r="B95" s="180">
        <v>1</v>
      </c>
      <c r="C95" s="180">
        <v>9</v>
      </c>
      <c r="D95" s="181">
        <v>1590000</v>
      </c>
      <c r="E95" s="181">
        <v>7950000</v>
      </c>
      <c r="F95" s="182"/>
      <c r="G95" s="182"/>
      <c r="H95" s="189"/>
      <c r="I95" s="182"/>
      <c r="J95" s="182"/>
      <c r="K95" s="182"/>
      <c r="L95" s="182"/>
      <c r="M95" s="182"/>
      <c r="N95" s="189"/>
      <c r="O95" s="171">
        <f t="shared" si="34"/>
        <v>7950000</v>
      </c>
      <c r="P95" s="189"/>
      <c r="Q95" s="263"/>
      <c r="R95" s="263"/>
      <c r="S95" s="263"/>
      <c r="T95" s="263">
        <f>901000*56%</f>
        <v>504560.00000000006</v>
      </c>
      <c r="U95" s="263">
        <f t="shared" si="36"/>
        <v>890400.00000000012</v>
      </c>
      <c r="V95" s="182"/>
      <c r="W95" s="182"/>
      <c r="X95" s="189"/>
      <c r="Y95" s="171">
        <f t="shared" si="33"/>
        <v>1394960.0000000002</v>
      </c>
      <c r="Z95" s="173">
        <f t="shared" si="35"/>
        <v>6555040</v>
      </c>
      <c r="AA95" s="186"/>
    </row>
    <row r="96" spans="1:28" s="136" customFormat="1" ht="15" customHeight="1" x14ac:dyDescent="0.25">
      <c r="A96" s="188" t="s">
        <v>187</v>
      </c>
      <c r="B96" s="180">
        <v>1</v>
      </c>
      <c r="C96" s="180">
        <v>9</v>
      </c>
      <c r="D96" s="181">
        <v>1590000</v>
      </c>
      <c r="E96" s="181">
        <v>7950000</v>
      </c>
      <c r="F96" s="182"/>
      <c r="G96" s="182"/>
      <c r="H96" s="189"/>
      <c r="I96" s="182"/>
      <c r="J96" s="182"/>
      <c r="K96" s="182"/>
      <c r="L96" s="182"/>
      <c r="M96" s="182"/>
      <c r="N96" s="189"/>
      <c r="O96" s="171">
        <f t="shared" si="34"/>
        <v>7950000</v>
      </c>
      <c r="P96" s="189"/>
      <c r="Q96" s="263"/>
      <c r="R96" s="263"/>
      <c r="S96" s="263"/>
      <c r="T96" s="263">
        <f>848000*56%</f>
        <v>474880.00000000006</v>
      </c>
      <c r="U96" s="263">
        <f t="shared" si="36"/>
        <v>890400.00000000012</v>
      </c>
      <c r="V96" s="182"/>
      <c r="W96" s="182"/>
      <c r="X96" s="189"/>
      <c r="Y96" s="171">
        <f t="shared" si="33"/>
        <v>1365280.0000000002</v>
      </c>
      <c r="Z96" s="173">
        <f t="shared" si="35"/>
        <v>6584720</v>
      </c>
      <c r="AA96" s="186"/>
    </row>
    <row r="97" spans="1:29" s="136" customFormat="1" ht="15" customHeight="1" x14ac:dyDescent="0.25">
      <c r="A97" s="191" t="s">
        <v>222</v>
      </c>
      <c r="B97" s="180">
        <v>1</v>
      </c>
      <c r="C97" s="180">
        <v>9</v>
      </c>
      <c r="D97" s="181">
        <v>1590000</v>
      </c>
      <c r="E97" s="181">
        <v>7950000</v>
      </c>
      <c r="F97" s="182"/>
      <c r="G97" s="182"/>
      <c r="H97" s="189"/>
      <c r="I97" s="182"/>
      <c r="J97" s="182"/>
      <c r="K97" s="182"/>
      <c r="L97" s="182"/>
      <c r="M97" s="182"/>
      <c r="N97" s="189"/>
      <c r="O97" s="171">
        <f t="shared" si="34"/>
        <v>7950000</v>
      </c>
      <c r="P97" s="189"/>
      <c r="Q97" s="263"/>
      <c r="R97" s="263"/>
      <c r="S97" s="263"/>
      <c r="T97" s="263"/>
      <c r="U97" s="263">
        <f t="shared" si="36"/>
        <v>890400.00000000012</v>
      </c>
      <c r="V97" s="182"/>
      <c r="W97" s="182"/>
      <c r="X97" s="189"/>
      <c r="Y97" s="171">
        <f t="shared" si="33"/>
        <v>890400.00000000012</v>
      </c>
      <c r="Z97" s="173">
        <f t="shared" si="35"/>
        <v>7059600</v>
      </c>
      <c r="AA97" s="186"/>
    </row>
    <row r="98" spans="1:29" s="136" customFormat="1" ht="15" customHeight="1" x14ac:dyDescent="0.25">
      <c r="A98" s="191" t="s">
        <v>223</v>
      </c>
      <c r="B98" s="180">
        <v>1</v>
      </c>
      <c r="C98" s="180">
        <v>9</v>
      </c>
      <c r="D98" s="181">
        <v>1590000</v>
      </c>
      <c r="E98" s="181">
        <v>7950000</v>
      </c>
      <c r="F98" s="182"/>
      <c r="G98" s="182"/>
      <c r="H98" s="189"/>
      <c r="I98" s="182"/>
      <c r="J98" s="182"/>
      <c r="K98" s="182"/>
      <c r="L98" s="182"/>
      <c r="M98" s="182"/>
      <c r="N98" s="189"/>
      <c r="O98" s="171">
        <f t="shared" si="34"/>
        <v>7950000</v>
      </c>
      <c r="P98" s="189"/>
      <c r="Q98" s="263"/>
      <c r="R98" s="263"/>
      <c r="S98" s="263"/>
      <c r="T98" s="263"/>
      <c r="U98" s="263">
        <f>795000*56%</f>
        <v>445200.00000000006</v>
      </c>
      <c r="V98" s="182"/>
      <c r="W98" s="182"/>
      <c r="X98" s="189"/>
      <c r="Y98" s="171">
        <f t="shared" si="33"/>
        <v>445200.00000000006</v>
      </c>
      <c r="Z98" s="173">
        <f t="shared" si="35"/>
        <v>7504800</v>
      </c>
      <c r="AA98" s="186"/>
      <c r="AB98" s="186"/>
    </row>
    <row r="99" spans="1:29" s="136" customFormat="1" ht="15" customHeight="1" x14ac:dyDescent="0.25">
      <c r="A99" s="191" t="s">
        <v>224</v>
      </c>
      <c r="B99" s="180">
        <v>1</v>
      </c>
      <c r="C99" s="180">
        <v>9</v>
      </c>
      <c r="D99" s="181">
        <v>1590000</v>
      </c>
      <c r="E99" s="181">
        <v>7950000</v>
      </c>
      <c r="F99" s="182"/>
      <c r="G99" s="182"/>
      <c r="H99" s="189"/>
      <c r="I99" s="182"/>
      <c r="J99" s="182"/>
      <c r="K99" s="182"/>
      <c r="L99" s="182"/>
      <c r="M99" s="182"/>
      <c r="N99" s="189"/>
      <c r="O99" s="171">
        <f t="shared" si="34"/>
        <v>7950000</v>
      </c>
      <c r="P99" s="189"/>
      <c r="Q99" s="263"/>
      <c r="R99" s="263"/>
      <c r="S99" s="263"/>
      <c r="T99" s="263"/>
      <c r="U99" s="263">
        <f>212000*56%</f>
        <v>118720.00000000001</v>
      </c>
      <c r="V99" s="182"/>
      <c r="W99" s="182"/>
      <c r="X99" s="189"/>
      <c r="Y99" s="171">
        <f t="shared" si="33"/>
        <v>118720.00000000001</v>
      </c>
      <c r="Z99" s="173">
        <f t="shared" si="35"/>
        <v>7831280</v>
      </c>
      <c r="AA99" s="186"/>
    </row>
    <row r="100" spans="1:29" ht="15" customHeight="1" x14ac:dyDescent="0.25">
      <c r="A100" s="167"/>
      <c r="B100" s="180"/>
      <c r="C100" s="180"/>
      <c r="D100" s="181"/>
      <c r="E100" s="181"/>
      <c r="F100" s="171"/>
      <c r="G100" s="171"/>
      <c r="H100" s="171">
        <v>0</v>
      </c>
      <c r="I100" s="171"/>
      <c r="J100" s="171"/>
      <c r="K100" s="171"/>
      <c r="L100" s="171"/>
      <c r="M100" s="171"/>
      <c r="N100" s="171"/>
      <c r="O100" s="171"/>
      <c r="P100" s="171"/>
      <c r="Q100" s="261"/>
      <c r="R100" s="261"/>
      <c r="S100" s="261"/>
      <c r="T100" s="261"/>
      <c r="U100" s="261"/>
      <c r="V100" s="171"/>
      <c r="W100" s="171"/>
      <c r="X100" s="171"/>
      <c r="Y100" s="193"/>
      <c r="Z100" s="194"/>
      <c r="AA100" s="154"/>
    </row>
    <row r="101" spans="1:29" ht="15" customHeight="1" x14ac:dyDescent="0.25">
      <c r="A101" s="155" t="s">
        <v>95</v>
      </c>
      <c r="B101" s="156"/>
      <c r="C101" s="156"/>
      <c r="D101" s="157"/>
      <c r="E101" s="158">
        <f>E29+E31+E36+E41+E74+E34+E47+E78+E81+E85+E91</f>
        <v>892145000</v>
      </c>
      <c r="F101" s="158">
        <f t="shared" ref="F101:M101" si="37">F29+F31+F36+F41+F74+F34+F47+F78+F85+F91</f>
        <v>0</v>
      </c>
      <c r="G101" s="158">
        <f t="shared" si="37"/>
        <v>0</v>
      </c>
      <c r="H101" s="158">
        <f t="shared" si="37"/>
        <v>0</v>
      </c>
      <c r="I101" s="158">
        <f t="shared" si="37"/>
        <v>0</v>
      </c>
      <c r="J101" s="158">
        <f t="shared" si="37"/>
        <v>0</v>
      </c>
      <c r="K101" s="158">
        <f t="shared" si="37"/>
        <v>0</v>
      </c>
      <c r="L101" s="158">
        <f t="shared" si="37"/>
        <v>0</v>
      </c>
      <c r="M101" s="158">
        <f t="shared" si="37"/>
        <v>0</v>
      </c>
      <c r="N101" s="158">
        <f t="shared" ref="N101:P101" si="38">N29+N31+N36+N41+N74+N34+N47+N78+N81+N85+N91</f>
        <v>892145000</v>
      </c>
      <c r="O101" s="158">
        <f>O29+O31+O36+O41+O74+O34+O47+O78+O81+O85+O91</f>
        <v>839232500</v>
      </c>
      <c r="P101" s="158">
        <f t="shared" si="38"/>
        <v>52912500</v>
      </c>
      <c r="Q101" s="258">
        <f>Q29+Q31+Q36+Q41+Q74+Q34+Q47+Q78+Q81+Q85+Q91</f>
        <v>13165200.25</v>
      </c>
      <c r="R101" s="258">
        <f t="shared" ref="R101:Z101" si="39">R29+R31+R36+R41+R74+R34+R47+R78+R81+R85+R91</f>
        <v>19528500</v>
      </c>
      <c r="S101" s="258">
        <f t="shared" si="39"/>
        <v>19528500</v>
      </c>
      <c r="T101" s="258">
        <f t="shared" si="39"/>
        <v>42503600</v>
      </c>
      <c r="U101" s="258">
        <f t="shared" si="39"/>
        <v>80533330</v>
      </c>
      <c r="V101" s="158">
        <f t="shared" si="39"/>
        <v>0</v>
      </c>
      <c r="W101" s="158">
        <f t="shared" si="39"/>
        <v>0</v>
      </c>
      <c r="X101" s="158">
        <f t="shared" si="39"/>
        <v>0</v>
      </c>
      <c r="Y101" s="158">
        <f t="shared" si="39"/>
        <v>175259130.25</v>
      </c>
      <c r="Z101" s="158">
        <f t="shared" si="39"/>
        <v>663973369.75</v>
      </c>
      <c r="AA101" s="154"/>
    </row>
    <row r="102" spans="1:29" ht="15" customHeight="1" x14ac:dyDescent="0.25">
      <c r="A102" s="155" t="s">
        <v>97</v>
      </c>
      <c r="B102" s="156"/>
      <c r="C102" s="156"/>
      <c r="D102" s="157"/>
      <c r="E102" s="158">
        <f>E28+E101</f>
        <v>3602945000</v>
      </c>
      <c r="F102" s="158">
        <f>F28+F101</f>
        <v>0</v>
      </c>
      <c r="G102" s="158">
        <f>+G3+G5+G7+G9+G13+G37+G42+G74</f>
        <v>0</v>
      </c>
      <c r="H102" s="158">
        <f>H28+H101</f>
        <v>0</v>
      </c>
      <c r="I102" s="158"/>
      <c r="J102" s="158">
        <f>+J3+J5+J7+J9+J13+J37+J42+J74</f>
        <v>0</v>
      </c>
      <c r="K102" s="158">
        <f>+K3+K5+K7+K9+K13+K37+K42+K74</f>
        <v>0</v>
      </c>
      <c r="L102" s="158">
        <f>+L3+L5+L7+L9+L13+L37+L42+L74</f>
        <v>0</v>
      </c>
      <c r="M102" s="158">
        <f>+M3+M5+M7+M9+M13+M37+M42+M74</f>
        <v>0</v>
      </c>
      <c r="N102" s="158">
        <f t="shared" ref="N102:Y102" si="40">N28+N101</f>
        <v>3602945000</v>
      </c>
      <c r="O102" s="158">
        <f t="shared" si="40"/>
        <v>1239898100</v>
      </c>
      <c r="P102" s="158">
        <f t="shared" si="40"/>
        <v>2363046900</v>
      </c>
      <c r="Q102" s="258">
        <f>Q28+Q101</f>
        <v>23373600.25</v>
      </c>
      <c r="R102" s="258">
        <f t="shared" ref="R102:X102" si="41">R28+R101</f>
        <v>39804300</v>
      </c>
      <c r="S102" s="258">
        <f t="shared" si="41"/>
        <v>57570300</v>
      </c>
      <c r="T102" s="258">
        <f t="shared" si="41"/>
        <v>155980400</v>
      </c>
      <c r="U102" s="258">
        <f t="shared" si="41"/>
        <v>299196130</v>
      </c>
      <c r="V102" s="158">
        <f t="shared" si="41"/>
        <v>0</v>
      </c>
      <c r="W102" s="158">
        <f t="shared" si="41"/>
        <v>0</v>
      </c>
      <c r="X102" s="158">
        <f t="shared" si="41"/>
        <v>0</v>
      </c>
      <c r="Y102" s="158">
        <f t="shared" si="40"/>
        <v>575924730.25</v>
      </c>
      <c r="Z102" s="195">
        <f t="shared" ref="Z102:Z123" si="42">O102-Y102</f>
        <v>663973369.75</v>
      </c>
      <c r="AA102" s="154"/>
      <c r="AB102" s="154"/>
      <c r="AC102" s="154"/>
    </row>
    <row r="103" spans="1:29" ht="15" customHeight="1" x14ac:dyDescent="0.25">
      <c r="A103" s="99" t="s">
        <v>79</v>
      </c>
      <c r="B103" s="18" t="s">
        <v>46</v>
      </c>
      <c r="C103" s="18">
        <v>1</v>
      </c>
      <c r="D103" s="196">
        <v>114000000</v>
      </c>
      <c r="E103" s="197"/>
      <c r="F103" s="197">
        <v>114000000</v>
      </c>
      <c r="G103" s="198"/>
      <c r="H103" s="197"/>
      <c r="I103" s="197"/>
      <c r="J103" s="172"/>
      <c r="K103" s="172"/>
      <c r="L103" s="172"/>
      <c r="M103" s="172"/>
      <c r="N103" s="172">
        <f t="shared" ref="N103:N112" si="43">SUM(E103:M103)</f>
        <v>114000000</v>
      </c>
      <c r="O103" s="171">
        <f>Y103</f>
        <v>38854000</v>
      </c>
      <c r="P103" s="171">
        <f>N103-O103</f>
        <v>75146000</v>
      </c>
      <c r="Q103" s="261">
        <v>11098000</v>
      </c>
      <c r="R103" s="261">
        <v>11098000</v>
      </c>
      <c r="S103" s="261">
        <v>11098000</v>
      </c>
      <c r="T103" s="261">
        <v>5560000</v>
      </c>
      <c r="U103" s="261"/>
      <c r="V103" s="171"/>
      <c r="W103" s="171"/>
      <c r="X103" s="171"/>
      <c r="Y103" s="182">
        <f t="shared" ref="Y103:Y122" si="44">SUM(Q103:X103)</f>
        <v>38854000</v>
      </c>
      <c r="Z103" s="194">
        <f t="shared" si="42"/>
        <v>0</v>
      </c>
      <c r="AA103" s="154"/>
    </row>
    <row r="104" spans="1:29" ht="15" customHeight="1" x14ac:dyDescent="0.25">
      <c r="A104" s="100" t="s">
        <v>80</v>
      </c>
      <c r="B104" s="18" t="s">
        <v>46</v>
      </c>
      <c r="C104" s="18">
        <v>1</v>
      </c>
      <c r="D104" s="196">
        <v>46000000</v>
      </c>
      <c r="E104" s="199">
        <v>43100000</v>
      </c>
      <c r="F104" s="197"/>
      <c r="G104" s="198"/>
      <c r="H104" s="197"/>
      <c r="I104" s="197"/>
      <c r="J104" s="172"/>
      <c r="K104" s="172"/>
      <c r="L104" s="172">
        <v>0</v>
      </c>
      <c r="M104" s="172"/>
      <c r="N104" s="172">
        <f t="shared" si="43"/>
        <v>43100000</v>
      </c>
      <c r="O104" s="171">
        <v>0</v>
      </c>
      <c r="P104" s="171">
        <f t="shared" ref="P104:P122" si="45">N104-O104</f>
        <v>43100000</v>
      </c>
      <c r="Q104" s="261"/>
      <c r="R104" s="261"/>
      <c r="S104" s="261"/>
      <c r="T104" s="261"/>
      <c r="U104" s="261"/>
      <c r="V104" s="171">
        <v>0</v>
      </c>
      <c r="W104" s="171"/>
      <c r="X104" s="171"/>
      <c r="Y104" s="182">
        <f t="shared" si="44"/>
        <v>0</v>
      </c>
      <c r="Z104" s="194">
        <f t="shared" si="42"/>
        <v>0</v>
      </c>
      <c r="AA104" s="154"/>
    </row>
    <row r="105" spans="1:29" ht="15" customHeight="1" x14ac:dyDescent="0.25">
      <c r="A105" s="100" t="s">
        <v>81</v>
      </c>
      <c r="B105" s="18" t="s">
        <v>46</v>
      </c>
      <c r="C105" s="18">
        <v>1</v>
      </c>
      <c r="D105" s="196">
        <v>55672720</v>
      </c>
      <c r="E105" s="199">
        <v>55672720</v>
      </c>
      <c r="F105" s="197"/>
      <c r="G105" s="198"/>
      <c r="H105" s="197"/>
      <c r="I105" s="197"/>
      <c r="J105" s="172"/>
      <c r="K105" s="172"/>
      <c r="L105" s="172"/>
      <c r="M105" s="172"/>
      <c r="N105" s="172">
        <f t="shared" si="43"/>
        <v>55672720</v>
      </c>
      <c r="O105" s="171">
        <v>0</v>
      </c>
      <c r="P105" s="171">
        <f t="shared" si="45"/>
        <v>55672720</v>
      </c>
      <c r="Q105" s="261"/>
      <c r="R105" s="261"/>
      <c r="S105" s="261"/>
      <c r="T105" s="261"/>
      <c r="U105" s="261"/>
      <c r="V105" s="171"/>
      <c r="W105" s="171"/>
      <c r="X105" s="171"/>
      <c r="Y105" s="182">
        <f t="shared" si="44"/>
        <v>0</v>
      </c>
      <c r="Z105" s="194">
        <f t="shared" si="42"/>
        <v>0</v>
      </c>
      <c r="AA105" s="154"/>
    </row>
    <row r="106" spans="1:29" ht="15" customHeight="1" x14ac:dyDescent="0.25">
      <c r="A106" s="100" t="s">
        <v>128</v>
      </c>
      <c r="B106" s="18" t="s">
        <v>46</v>
      </c>
      <c r="C106" s="18">
        <v>1</v>
      </c>
      <c r="D106" s="196">
        <v>22000000</v>
      </c>
      <c r="E106" s="199">
        <f>+D106</f>
        <v>22000000</v>
      </c>
      <c r="F106" s="197"/>
      <c r="G106" s="198"/>
      <c r="H106" s="197"/>
      <c r="I106" s="197"/>
      <c r="J106" s="172"/>
      <c r="K106" s="172"/>
      <c r="L106" s="172"/>
      <c r="M106" s="172"/>
      <c r="N106" s="172">
        <f t="shared" ref="N106:N109" si="46">SUM(E106:M106)</f>
        <v>22000000</v>
      </c>
      <c r="O106" s="171">
        <v>0</v>
      </c>
      <c r="P106" s="171">
        <f t="shared" si="45"/>
        <v>22000000</v>
      </c>
      <c r="Q106" s="261"/>
      <c r="R106" s="261"/>
      <c r="S106" s="261"/>
      <c r="T106" s="261"/>
      <c r="U106" s="261"/>
      <c r="V106" s="171"/>
      <c r="W106" s="171"/>
      <c r="X106" s="171"/>
      <c r="Y106" s="182">
        <f t="shared" si="44"/>
        <v>0</v>
      </c>
      <c r="Z106" s="194">
        <f t="shared" si="42"/>
        <v>0</v>
      </c>
      <c r="AA106" s="154"/>
    </row>
    <row r="107" spans="1:29" ht="15" customHeight="1" x14ac:dyDescent="0.25">
      <c r="A107" s="100" t="s">
        <v>129</v>
      </c>
      <c r="B107" s="18" t="s">
        <v>46</v>
      </c>
      <c r="C107" s="18">
        <v>1</v>
      </c>
      <c r="D107" s="196">
        <v>17000000</v>
      </c>
      <c r="E107" s="199">
        <f>+D107</f>
        <v>17000000</v>
      </c>
      <c r="F107" s="197"/>
      <c r="G107" s="198"/>
      <c r="H107" s="197"/>
      <c r="I107" s="197"/>
      <c r="J107" s="172"/>
      <c r="K107" s="172"/>
      <c r="L107" s="172"/>
      <c r="M107" s="172"/>
      <c r="N107" s="172">
        <f t="shared" si="46"/>
        <v>17000000</v>
      </c>
      <c r="O107" s="171">
        <v>0</v>
      </c>
      <c r="P107" s="171">
        <f t="shared" si="45"/>
        <v>17000000</v>
      </c>
      <c r="Q107" s="261"/>
      <c r="R107" s="261"/>
      <c r="S107" s="261"/>
      <c r="T107" s="261"/>
      <c r="U107" s="261"/>
      <c r="V107" s="171"/>
      <c r="W107" s="171"/>
      <c r="X107" s="171"/>
      <c r="Y107" s="182">
        <f t="shared" si="44"/>
        <v>0</v>
      </c>
      <c r="Z107" s="194">
        <f t="shared" si="42"/>
        <v>0</v>
      </c>
      <c r="AA107" s="154"/>
    </row>
    <row r="108" spans="1:29" ht="15" customHeight="1" x14ac:dyDescent="0.25">
      <c r="A108" s="101" t="s">
        <v>83</v>
      </c>
      <c r="B108" s="18" t="s">
        <v>46</v>
      </c>
      <c r="C108" s="18">
        <v>1</v>
      </c>
      <c r="D108" s="196">
        <v>7000000</v>
      </c>
      <c r="E108" s="197"/>
      <c r="F108" s="197">
        <v>7000000</v>
      </c>
      <c r="G108" s="198"/>
      <c r="H108" s="197"/>
      <c r="I108" s="197"/>
      <c r="J108" s="172"/>
      <c r="K108" s="172"/>
      <c r="L108" s="172"/>
      <c r="M108" s="172"/>
      <c r="N108" s="172">
        <f t="shared" si="46"/>
        <v>7000000</v>
      </c>
      <c r="O108" s="171">
        <f t="shared" ref="O108:O109" si="47">Y108</f>
        <v>7000000</v>
      </c>
      <c r="P108" s="172">
        <f t="shared" si="45"/>
        <v>0</v>
      </c>
      <c r="Q108" s="261"/>
      <c r="R108" s="261"/>
      <c r="S108" s="261"/>
      <c r="T108" s="261">
        <v>7000000</v>
      </c>
      <c r="U108" s="273"/>
      <c r="V108" s="171"/>
      <c r="W108" s="171">
        <v>0</v>
      </c>
      <c r="X108" s="171"/>
      <c r="Y108" s="182">
        <f t="shared" si="44"/>
        <v>7000000</v>
      </c>
      <c r="Z108" s="194">
        <f t="shared" si="42"/>
        <v>0</v>
      </c>
      <c r="AA108" s="154"/>
    </row>
    <row r="109" spans="1:29" ht="15" customHeight="1" x14ac:dyDescent="0.25">
      <c r="A109" s="102" t="s">
        <v>84</v>
      </c>
      <c r="B109" s="18" t="s">
        <v>46</v>
      </c>
      <c r="C109" s="18">
        <v>1</v>
      </c>
      <c r="D109" s="196">
        <v>11000000</v>
      </c>
      <c r="E109" s="197"/>
      <c r="F109" s="197">
        <v>11000000</v>
      </c>
      <c r="G109" s="198"/>
      <c r="H109" s="197"/>
      <c r="I109" s="197"/>
      <c r="J109" s="172"/>
      <c r="K109" s="172"/>
      <c r="L109" s="172"/>
      <c r="M109" s="172"/>
      <c r="N109" s="172">
        <f t="shared" si="46"/>
        <v>11000000</v>
      </c>
      <c r="O109" s="171">
        <f t="shared" si="47"/>
        <v>11000000</v>
      </c>
      <c r="P109" s="172">
        <f t="shared" si="45"/>
        <v>0</v>
      </c>
      <c r="Q109" s="261"/>
      <c r="R109" s="261"/>
      <c r="S109" s="261"/>
      <c r="T109" s="261">
        <v>11000000</v>
      </c>
      <c r="U109" s="261"/>
      <c r="V109" s="171"/>
      <c r="W109" s="171">
        <v>0</v>
      </c>
      <c r="X109" s="171"/>
      <c r="Y109" s="182">
        <f t="shared" si="44"/>
        <v>11000000</v>
      </c>
      <c r="Z109" s="194">
        <f t="shared" si="42"/>
        <v>0</v>
      </c>
      <c r="AA109" s="154"/>
    </row>
    <row r="110" spans="1:29" ht="15" customHeight="1" x14ac:dyDescent="0.25">
      <c r="A110" s="103" t="s">
        <v>85</v>
      </c>
      <c r="B110" s="18" t="s">
        <v>46</v>
      </c>
      <c r="C110" s="18">
        <v>1</v>
      </c>
      <c r="D110" s="196">
        <v>42429362.131999969</v>
      </c>
      <c r="E110" s="197">
        <v>33429362.131999969</v>
      </c>
      <c r="F110" s="197">
        <v>0</v>
      </c>
      <c r="G110" s="198"/>
      <c r="H110" s="197"/>
      <c r="I110" s="197"/>
      <c r="J110" s="172"/>
      <c r="K110" s="172"/>
      <c r="L110" s="172"/>
      <c r="M110" s="172"/>
      <c r="N110" s="172">
        <f t="shared" si="43"/>
        <v>33429362.131999969</v>
      </c>
      <c r="O110" s="172">
        <v>0</v>
      </c>
      <c r="P110" s="172">
        <f t="shared" si="45"/>
        <v>33429362.131999969</v>
      </c>
      <c r="Q110" s="261"/>
      <c r="R110" s="261"/>
      <c r="S110" s="261"/>
      <c r="T110" s="261"/>
      <c r="U110" s="272"/>
      <c r="V110" s="171"/>
      <c r="W110" s="171">
        <v>0</v>
      </c>
      <c r="X110" s="171"/>
      <c r="Y110" s="182">
        <f t="shared" si="44"/>
        <v>0</v>
      </c>
      <c r="Z110" s="194">
        <f t="shared" si="42"/>
        <v>0</v>
      </c>
      <c r="AA110" s="154"/>
    </row>
    <row r="111" spans="1:29" ht="15" customHeight="1" x14ac:dyDescent="0.25">
      <c r="A111" s="103" t="s">
        <v>86</v>
      </c>
      <c r="B111" s="18" t="s">
        <v>46</v>
      </c>
      <c r="C111" s="18">
        <v>1</v>
      </c>
      <c r="D111" s="196">
        <v>28850000</v>
      </c>
      <c r="E111" s="197"/>
      <c r="F111" s="197">
        <v>28850000</v>
      </c>
      <c r="G111" s="198"/>
      <c r="H111" s="197"/>
      <c r="I111" s="197"/>
      <c r="J111" s="172"/>
      <c r="K111" s="172"/>
      <c r="L111" s="172"/>
      <c r="M111" s="172"/>
      <c r="N111" s="172">
        <f t="shared" si="43"/>
        <v>28850000</v>
      </c>
      <c r="O111" s="171">
        <f>Y111</f>
        <v>1610000</v>
      </c>
      <c r="P111" s="172">
        <f t="shared" si="45"/>
        <v>27240000</v>
      </c>
      <c r="Q111" s="261"/>
      <c r="R111" s="261"/>
      <c r="S111" s="261" t="s">
        <v>29</v>
      </c>
      <c r="T111" s="261"/>
      <c r="U111" s="261">
        <f>1610000</f>
        <v>1610000</v>
      </c>
      <c r="V111" s="171"/>
      <c r="W111" s="171"/>
      <c r="X111" s="171">
        <v>0</v>
      </c>
      <c r="Y111" s="182">
        <f t="shared" si="44"/>
        <v>1610000</v>
      </c>
      <c r="Z111" s="194">
        <f t="shared" si="42"/>
        <v>0</v>
      </c>
      <c r="AA111" s="154"/>
    </row>
    <row r="112" spans="1:29" ht="15" customHeight="1" x14ac:dyDescent="0.25">
      <c r="A112" s="104" t="s">
        <v>87</v>
      </c>
      <c r="B112" s="18" t="s">
        <v>46</v>
      </c>
      <c r="C112" s="18">
        <v>1</v>
      </c>
      <c r="D112" s="196">
        <v>98011169</v>
      </c>
      <c r="E112" s="197">
        <v>98011169</v>
      </c>
      <c r="F112" s="197"/>
      <c r="G112" s="198"/>
      <c r="H112" s="197"/>
      <c r="I112" s="197"/>
      <c r="J112" s="172"/>
      <c r="K112" s="172"/>
      <c r="L112" s="172"/>
      <c r="M112" s="172"/>
      <c r="N112" s="172">
        <f t="shared" si="43"/>
        <v>98011169</v>
      </c>
      <c r="O112" s="172">
        <v>0</v>
      </c>
      <c r="P112" s="172">
        <f t="shared" si="45"/>
        <v>98011169</v>
      </c>
      <c r="Q112" s="261"/>
      <c r="R112" s="261"/>
      <c r="S112" s="261"/>
      <c r="T112" s="261"/>
      <c r="U112" s="261"/>
      <c r="V112" s="171"/>
      <c r="W112" s="171"/>
      <c r="X112" s="171"/>
      <c r="Y112" s="182">
        <f t="shared" si="44"/>
        <v>0</v>
      </c>
      <c r="Z112" s="194">
        <f t="shared" si="42"/>
        <v>0</v>
      </c>
      <c r="AA112" s="154"/>
    </row>
    <row r="113" spans="1:27" ht="15" customHeight="1" x14ac:dyDescent="0.25">
      <c r="A113" s="106" t="s">
        <v>204</v>
      </c>
      <c r="B113" s="18" t="s">
        <v>46</v>
      </c>
      <c r="C113" s="18">
        <v>1</v>
      </c>
      <c r="D113" s="196">
        <v>60000000</v>
      </c>
      <c r="E113" s="197">
        <v>43400000</v>
      </c>
      <c r="F113" s="197"/>
      <c r="G113" s="198"/>
      <c r="H113" s="197"/>
      <c r="I113" s="200"/>
      <c r="J113" s="172"/>
      <c r="K113" s="172"/>
      <c r="L113" s="172"/>
      <c r="M113" s="172"/>
      <c r="N113" s="172">
        <f t="shared" ref="N113:N119" si="48">SUM(E113:M113)</f>
        <v>43400000</v>
      </c>
      <c r="O113" s="172"/>
      <c r="P113" s="172">
        <f>+N113-O114</f>
        <v>0</v>
      </c>
      <c r="Q113" s="261"/>
      <c r="R113" s="261"/>
      <c r="S113" s="261"/>
      <c r="T113" s="261"/>
      <c r="U113" s="261"/>
      <c r="V113" s="171"/>
      <c r="W113" s="171"/>
      <c r="X113" s="171"/>
      <c r="Y113" s="182">
        <f t="shared" si="44"/>
        <v>0</v>
      </c>
      <c r="Z113" s="194">
        <f t="shared" si="42"/>
        <v>0</v>
      </c>
      <c r="AA113" s="154"/>
    </row>
    <row r="114" spans="1:27" ht="15" customHeight="1" x14ac:dyDescent="0.25">
      <c r="A114" s="107" t="s">
        <v>205</v>
      </c>
      <c r="B114" s="18"/>
      <c r="C114" s="18"/>
      <c r="D114" s="196"/>
      <c r="E114" s="197">
        <v>43400000</v>
      </c>
      <c r="F114" s="197"/>
      <c r="G114" s="198"/>
      <c r="H114" s="197"/>
      <c r="I114" s="200"/>
      <c r="J114" s="172"/>
      <c r="K114" s="172"/>
      <c r="L114" s="172"/>
      <c r="M114" s="172"/>
      <c r="N114" s="172"/>
      <c r="O114" s="172">
        <v>43400000</v>
      </c>
      <c r="P114" s="172"/>
      <c r="Q114" s="261"/>
      <c r="R114" s="261"/>
      <c r="S114" s="261"/>
      <c r="T114" s="261">
        <f>218820*72%</f>
        <v>157550.39999999999</v>
      </c>
      <c r="U114" s="261">
        <f>(1149002)*72%</f>
        <v>827281.44</v>
      </c>
      <c r="V114" s="171"/>
      <c r="W114" s="171"/>
      <c r="X114" s="171"/>
      <c r="Y114" s="182">
        <f t="shared" si="44"/>
        <v>984831.84</v>
      </c>
      <c r="Z114" s="194">
        <f t="shared" si="42"/>
        <v>42415168.159999996</v>
      </c>
      <c r="AA114" s="154"/>
    </row>
    <row r="115" spans="1:27" ht="15" customHeight="1" x14ac:dyDescent="0.25">
      <c r="A115" s="106" t="s">
        <v>206</v>
      </c>
      <c r="B115" s="18" t="s">
        <v>46</v>
      </c>
      <c r="C115" s="18">
        <v>1</v>
      </c>
      <c r="D115" s="196">
        <v>35000000</v>
      </c>
      <c r="E115" s="197">
        <v>35000000</v>
      </c>
      <c r="F115" s="197"/>
      <c r="G115" s="198"/>
      <c r="H115" s="197"/>
      <c r="I115" s="197"/>
      <c r="J115" s="172"/>
      <c r="K115" s="172"/>
      <c r="L115" s="172"/>
      <c r="M115" s="172"/>
      <c r="N115" s="172">
        <f>SUM(E115:M115)</f>
        <v>35000000</v>
      </c>
      <c r="O115" s="172"/>
      <c r="P115" s="172">
        <f>+N115-O116</f>
        <v>0</v>
      </c>
      <c r="Q115" s="261"/>
      <c r="R115" s="261"/>
      <c r="S115" s="261"/>
      <c r="T115" s="261"/>
      <c r="U115" s="261"/>
      <c r="V115" s="171"/>
      <c r="W115" s="171"/>
      <c r="X115" s="171"/>
      <c r="Y115" s="182">
        <f t="shared" si="44"/>
        <v>0</v>
      </c>
      <c r="Z115" s="194">
        <f t="shared" si="42"/>
        <v>0</v>
      </c>
      <c r="AA115" s="154"/>
    </row>
    <row r="116" spans="1:27" ht="15" customHeight="1" x14ac:dyDescent="0.25">
      <c r="A116" s="106" t="s">
        <v>205</v>
      </c>
      <c r="B116" s="18"/>
      <c r="C116" s="18"/>
      <c r="D116" s="196"/>
      <c r="E116" s="197">
        <v>35000000</v>
      </c>
      <c r="F116" s="197"/>
      <c r="G116" s="198"/>
      <c r="H116" s="197"/>
      <c r="I116" s="197"/>
      <c r="J116" s="172"/>
      <c r="K116" s="172"/>
      <c r="L116" s="172"/>
      <c r="M116" s="172"/>
      <c r="N116" s="172"/>
      <c r="O116" s="172">
        <v>35000000</v>
      </c>
      <c r="P116" s="172"/>
      <c r="Q116" s="261"/>
      <c r="R116" s="261"/>
      <c r="S116" s="261"/>
      <c r="T116" s="261"/>
      <c r="U116" s="261"/>
      <c r="V116" s="171"/>
      <c r="W116" s="171"/>
      <c r="X116" s="171"/>
      <c r="Y116" s="182">
        <f t="shared" si="44"/>
        <v>0</v>
      </c>
      <c r="Z116" s="194">
        <f t="shared" si="42"/>
        <v>35000000</v>
      </c>
      <c r="AA116" s="154"/>
    </row>
    <row r="117" spans="1:27" ht="15" customHeight="1" x14ac:dyDescent="0.25">
      <c r="A117" s="106" t="s">
        <v>130</v>
      </c>
      <c r="B117" s="18" t="s">
        <v>46</v>
      </c>
      <c r="C117" s="18">
        <v>1</v>
      </c>
      <c r="D117" s="196">
        <v>25000000</v>
      </c>
      <c r="E117" s="197">
        <v>25000000</v>
      </c>
      <c r="F117" s="197"/>
      <c r="G117" s="198"/>
      <c r="H117" s="197"/>
      <c r="I117" s="197"/>
      <c r="J117" s="172"/>
      <c r="K117" s="172"/>
      <c r="L117" s="172"/>
      <c r="M117" s="172"/>
      <c r="N117" s="172">
        <f t="shared" si="48"/>
        <v>25000000</v>
      </c>
      <c r="O117" s="172">
        <v>25000000</v>
      </c>
      <c r="P117" s="172">
        <f t="shared" si="45"/>
        <v>0</v>
      </c>
      <c r="Q117" s="261"/>
      <c r="R117" s="261"/>
      <c r="S117" s="261"/>
      <c r="T117" s="261"/>
      <c r="U117" s="261"/>
      <c r="V117" s="171"/>
      <c r="W117" s="171"/>
      <c r="X117" s="171"/>
      <c r="Y117" s="182">
        <f t="shared" si="44"/>
        <v>0</v>
      </c>
      <c r="Z117" s="194">
        <f t="shared" si="42"/>
        <v>25000000</v>
      </c>
      <c r="AA117" s="154"/>
    </row>
    <row r="118" spans="1:27" ht="15" customHeight="1" x14ac:dyDescent="0.25">
      <c r="A118" s="106" t="s">
        <v>131</v>
      </c>
      <c r="B118" s="18" t="s">
        <v>46</v>
      </c>
      <c r="C118" s="18">
        <v>1</v>
      </c>
      <c r="D118" s="196">
        <v>25000000</v>
      </c>
      <c r="E118" s="197">
        <v>17000000</v>
      </c>
      <c r="F118" s="197"/>
      <c r="G118" s="198"/>
      <c r="H118" s="197"/>
      <c r="I118" s="197"/>
      <c r="J118" s="172"/>
      <c r="K118" s="172"/>
      <c r="L118" s="172"/>
      <c r="M118" s="172"/>
      <c r="N118" s="172">
        <f t="shared" si="48"/>
        <v>17000000</v>
      </c>
      <c r="O118" s="172">
        <v>0</v>
      </c>
      <c r="P118" s="172">
        <f t="shared" si="45"/>
        <v>17000000</v>
      </c>
      <c r="Q118" s="261"/>
      <c r="R118" s="261"/>
      <c r="S118" s="261"/>
      <c r="T118" s="261"/>
      <c r="U118" s="261"/>
      <c r="V118" s="171"/>
      <c r="W118" s="171"/>
      <c r="X118" s="171"/>
      <c r="Y118" s="182">
        <f t="shared" si="44"/>
        <v>0</v>
      </c>
      <c r="Z118" s="194">
        <f t="shared" si="42"/>
        <v>0</v>
      </c>
      <c r="AA118" s="154"/>
    </row>
    <row r="119" spans="1:27" ht="15" customHeight="1" x14ac:dyDescent="0.25">
      <c r="A119" s="104" t="s">
        <v>132</v>
      </c>
      <c r="B119" s="18" t="s">
        <v>46</v>
      </c>
      <c r="C119" s="18">
        <v>1</v>
      </c>
      <c r="D119" s="196">
        <v>42000000</v>
      </c>
      <c r="E119" s="197">
        <v>21000000</v>
      </c>
      <c r="F119" s="197"/>
      <c r="G119" s="198"/>
      <c r="H119" s="197"/>
      <c r="I119" s="197"/>
      <c r="J119" s="172"/>
      <c r="K119" s="172"/>
      <c r="L119" s="172"/>
      <c r="M119" s="172"/>
      <c r="N119" s="172">
        <f t="shared" si="48"/>
        <v>21000000</v>
      </c>
      <c r="O119" s="172">
        <v>0</v>
      </c>
      <c r="P119" s="172">
        <f t="shared" si="45"/>
        <v>21000000</v>
      </c>
      <c r="Q119" s="261"/>
      <c r="R119" s="261"/>
      <c r="S119" s="261"/>
      <c r="T119" s="261"/>
      <c r="U119" s="261"/>
      <c r="V119" s="171"/>
      <c r="W119" s="171"/>
      <c r="X119" s="171"/>
      <c r="Y119" s="182">
        <f t="shared" si="44"/>
        <v>0</v>
      </c>
      <c r="Z119" s="194">
        <f t="shared" si="42"/>
        <v>0</v>
      </c>
      <c r="AA119" s="154"/>
    </row>
    <row r="120" spans="1:27" ht="15" customHeight="1" x14ac:dyDescent="0.25">
      <c r="A120" s="104" t="s">
        <v>133</v>
      </c>
      <c r="B120" s="18" t="s">
        <v>46</v>
      </c>
      <c r="C120" s="18">
        <v>1</v>
      </c>
      <c r="D120" s="196">
        <f>11300000+80000000</f>
        <v>91300000</v>
      </c>
      <c r="E120" s="197">
        <v>0</v>
      </c>
      <c r="F120" s="197">
        <v>91300000</v>
      </c>
      <c r="G120" s="198"/>
      <c r="H120" s="197"/>
      <c r="I120" s="197"/>
      <c r="J120" s="172"/>
      <c r="K120" s="172"/>
      <c r="L120" s="172"/>
      <c r="M120" s="172"/>
      <c r="N120" s="172">
        <f t="shared" ref="N120" si="49">SUM(E120:M120)</f>
        <v>91300000</v>
      </c>
      <c r="O120" s="172">
        <f>Y120</f>
        <v>15500000</v>
      </c>
      <c r="P120" s="172">
        <f t="shared" si="45"/>
        <v>75800000</v>
      </c>
      <c r="Q120" s="261">
        <v>15500000</v>
      </c>
      <c r="R120" s="261">
        <v>0</v>
      </c>
      <c r="S120" s="261"/>
      <c r="T120" s="261"/>
      <c r="U120" s="261"/>
      <c r="V120" s="171"/>
      <c r="W120" s="171"/>
      <c r="X120" s="171"/>
      <c r="Y120" s="182">
        <f t="shared" si="44"/>
        <v>15500000</v>
      </c>
      <c r="Z120" s="194">
        <f t="shared" si="42"/>
        <v>0</v>
      </c>
      <c r="AA120" s="154"/>
    </row>
    <row r="121" spans="1:27" ht="15" customHeight="1" x14ac:dyDescent="0.25">
      <c r="A121" s="104" t="s">
        <v>136</v>
      </c>
      <c r="B121" s="18" t="s">
        <v>135</v>
      </c>
      <c r="C121" s="18">
        <v>1</v>
      </c>
      <c r="D121" s="196">
        <v>4500000</v>
      </c>
      <c r="E121" s="199">
        <v>3000000</v>
      </c>
      <c r="F121" s="197"/>
      <c r="G121" s="198"/>
      <c r="H121" s="201"/>
      <c r="I121" s="197"/>
      <c r="J121" s="172"/>
      <c r="K121" s="172"/>
      <c r="L121" s="172"/>
      <c r="M121" s="172"/>
      <c r="N121" s="172">
        <f t="shared" ref="N121:N122" si="50">SUM(E121:M121)</f>
        <v>3000000</v>
      </c>
      <c r="O121" s="172">
        <v>0</v>
      </c>
      <c r="P121" s="172">
        <f t="shared" si="45"/>
        <v>3000000</v>
      </c>
      <c r="Q121" s="261"/>
      <c r="R121" s="261"/>
      <c r="S121" s="261"/>
      <c r="T121" s="261"/>
      <c r="U121" s="261"/>
      <c r="V121" s="171"/>
      <c r="W121" s="171"/>
      <c r="X121" s="171"/>
      <c r="Y121" s="182">
        <f t="shared" si="44"/>
        <v>0</v>
      </c>
      <c r="Z121" s="194">
        <f t="shared" si="42"/>
        <v>0</v>
      </c>
      <c r="AA121" s="154"/>
    </row>
    <row r="122" spans="1:27" ht="15" customHeight="1" x14ac:dyDescent="0.25">
      <c r="A122" s="104" t="s">
        <v>137</v>
      </c>
      <c r="B122" s="18" t="s">
        <v>46</v>
      </c>
      <c r="C122" s="18">
        <v>1</v>
      </c>
      <c r="D122" s="196">
        <v>6000000</v>
      </c>
      <c r="E122" s="197">
        <v>4000000</v>
      </c>
      <c r="F122" s="199">
        <v>0</v>
      </c>
      <c r="G122" s="198"/>
      <c r="H122" s="199"/>
      <c r="I122" s="197"/>
      <c r="J122" s="172"/>
      <c r="K122" s="172"/>
      <c r="L122" s="172"/>
      <c r="M122" s="172"/>
      <c r="N122" s="172">
        <f t="shared" si="50"/>
        <v>4000000</v>
      </c>
      <c r="O122" s="172">
        <v>0</v>
      </c>
      <c r="P122" s="172">
        <f t="shared" si="45"/>
        <v>4000000</v>
      </c>
      <c r="Q122" s="261"/>
      <c r="R122" s="261"/>
      <c r="S122" s="261"/>
      <c r="T122" s="261"/>
      <c r="U122" s="261"/>
      <c r="V122" s="171"/>
      <c r="W122" s="171"/>
      <c r="X122" s="171"/>
      <c r="Y122" s="182">
        <f t="shared" si="44"/>
        <v>0</v>
      </c>
      <c r="Z122" s="194">
        <f t="shared" si="42"/>
        <v>0</v>
      </c>
      <c r="AA122" s="154"/>
    </row>
    <row r="123" spans="1:27" ht="15" customHeight="1" x14ac:dyDescent="0.25">
      <c r="A123" s="155" t="s">
        <v>36</v>
      </c>
      <c r="B123" s="202"/>
      <c r="C123" s="202"/>
      <c r="D123" s="203"/>
      <c r="E123" s="158">
        <f>+E103+E104+E105+E106+E107+E108+E109+E110+E111+E112+E113+E115+E117+E118+E119+E120+E121+E122</f>
        <v>417613251.13199997</v>
      </c>
      <c r="F123" s="158">
        <f>SUM(F103:F122)</f>
        <v>252150000</v>
      </c>
      <c r="G123" s="158"/>
      <c r="H123" s="158">
        <f>SUM(H103:H122)</f>
        <v>0</v>
      </c>
      <c r="I123" s="158">
        <f>SUM(I103:I122)</f>
        <v>0</v>
      </c>
      <c r="J123" s="158"/>
      <c r="K123" s="158">
        <f>SUM(K103:K122)</f>
        <v>0</v>
      </c>
      <c r="L123" s="158">
        <f>SUM(L103:L122)</f>
        <v>0</v>
      </c>
      <c r="M123" s="158">
        <f>SUM(M103:M122)</f>
        <v>0</v>
      </c>
      <c r="N123" s="158">
        <f>+N103+N104+N105+N106+N107+N108+N109+N110+N111+N112+N113+N115+N117+N118+N119+N120+N121+N122</f>
        <v>669763251.13199997</v>
      </c>
      <c r="O123" s="158">
        <f>+O103+O104+O105+O106+O107+O108+O109+O110+O111+O112+O114+O116+O117+O118+O119+O120+O121+O122</f>
        <v>177364000</v>
      </c>
      <c r="P123" s="158">
        <f>N123-O123</f>
        <v>492399251.13199997</v>
      </c>
      <c r="Q123" s="258">
        <f>SUM(Q103:Q122)</f>
        <v>26598000</v>
      </c>
      <c r="R123" s="258">
        <f t="shared" ref="R123:X123" si="51">SUM(R103:R122)</f>
        <v>11098000</v>
      </c>
      <c r="S123" s="258">
        <f t="shared" si="51"/>
        <v>11098000</v>
      </c>
      <c r="T123" s="258">
        <f t="shared" si="51"/>
        <v>23717550.399999999</v>
      </c>
      <c r="U123" s="258">
        <f t="shared" si="51"/>
        <v>2437281.44</v>
      </c>
      <c r="V123" s="158">
        <f t="shared" si="51"/>
        <v>0</v>
      </c>
      <c r="W123" s="158">
        <f t="shared" si="51"/>
        <v>0</v>
      </c>
      <c r="X123" s="158">
        <f t="shared" si="51"/>
        <v>0</v>
      </c>
      <c r="Y123" s="158">
        <f>+Y103+Y104+Y105+Y106+Y107+Y108+Y109+Y110+Y111+Y112+Y114+Y115+Y117+Y118+Y119+Y120+Y121+Y122</f>
        <v>74948831.840000004</v>
      </c>
      <c r="Z123" s="195">
        <f t="shared" si="42"/>
        <v>102415168.16</v>
      </c>
      <c r="AA123" s="154"/>
    </row>
    <row r="124" spans="1:27" ht="15" customHeight="1" x14ac:dyDescent="0.25">
      <c r="A124" s="167" t="s">
        <v>45</v>
      </c>
      <c r="B124" s="168" t="s">
        <v>46</v>
      </c>
      <c r="C124" s="168">
        <v>1</v>
      </c>
      <c r="D124" s="169">
        <v>150000000</v>
      </c>
      <c r="E124" s="171">
        <v>148000000</v>
      </c>
      <c r="F124" s="171">
        <v>0</v>
      </c>
      <c r="G124" s="171">
        <v>0</v>
      </c>
      <c r="H124" s="171">
        <v>0</v>
      </c>
      <c r="I124" s="171">
        <v>0</v>
      </c>
      <c r="J124" s="171">
        <v>0</v>
      </c>
      <c r="K124" s="171">
        <v>0</v>
      </c>
      <c r="L124" s="171">
        <v>0</v>
      </c>
      <c r="M124" s="171">
        <v>0</v>
      </c>
      <c r="N124" s="171">
        <f>SUM(E124:M124)</f>
        <v>148000000</v>
      </c>
      <c r="O124" s="182"/>
      <c r="P124" s="171">
        <f t="shared" ref="P124:P130" si="52">N124-O124</f>
        <v>148000000</v>
      </c>
      <c r="Q124" s="261"/>
      <c r="R124" s="261"/>
      <c r="S124" s="261"/>
      <c r="T124" s="261"/>
      <c r="U124" s="261"/>
      <c r="V124" s="171"/>
      <c r="W124" s="171"/>
      <c r="X124" s="171"/>
      <c r="Y124" s="182">
        <f>SUM(Q124:X124)</f>
        <v>0</v>
      </c>
      <c r="Z124" s="194">
        <f t="shared" ref="Z124:Z126" si="53">O124-Y124</f>
        <v>0</v>
      </c>
      <c r="AA124" s="154"/>
    </row>
    <row r="125" spans="1:27" ht="15" customHeight="1" x14ac:dyDescent="0.25">
      <c r="A125" s="167" t="s">
        <v>198</v>
      </c>
      <c r="B125" s="168" t="s">
        <v>46</v>
      </c>
      <c r="C125" s="168">
        <v>1</v>
      </c>
      <c r="D125" s="169">
        <v>81837351</v>
      </c>
      <c r="E125" s="171">
        <v>776523896</v>
      </c>
      <c r="F125" s="171">
        <v>0</v>
      </c>
      <c r="G125" s="171"/>
      <c r="H125" s="171">
        <v>0</v>
      </c>
      <c r="I125" s="171">
        <v>0</v>
      </c>
      <c r="J125" s="171">
        <v>0</v>
      </c>
      <c r="K125" s="171">
        <v>0</v>
      </c>
      <c r="L125" s="171">
        <v>0</v>
      </c>
      <c r="M125" s="171">
        <v>0</v>
      </c>
      <c r="N125" s="171">
        <f>SUM(E125:M125)</f>
        <v>776523896</v>
      </c>
      <c r="O125" s="171"/>
      <c r="P125" s="171">
        <f>+N125-O126</f>
        <v>0</v>
      </c>
      <c r="Q125" s="261">
        <v>0</v>
      </c>
      <c r="R125" s="261">
        <v>0</v>
      </c>
      <c r="S125" s="261"/>
      <c r="T125" s="261"/>
      <c r="U125" s="261"/>
      <c r="V125" s="171">
        <v>0</v>
      </c>
      <c r="W125" s="171">
        <v>0</v>
      </c>
      <c r="X125" s="171">
        <v>0</v>
      </c>
      <c r="Y125" s="182">
        <f t="shared" ref="Y125:Y126" si="54">SUM(Q125:X125)</f>
        <v>0</v>
      </c>
      <c r="Z125" s="194">
        <f t="shared" si="53"/>
        <v>0</v>
      </c>
      <c r="AA125" s="154"/>
    </row>
    <row r="126" spans="1:27" ht="15" customHeight="1" x14ac:dyDescent="0.25">
      <c r="A126" s="94" t="s">
        <v>197</v>
      </c>
      <c r="B126" s="168"/>
      <c r="C126" s="168"/>
      <c r="D126" s="169"/>
      <c r="E126" s="171">
        <v>776523896</v>
      </c>
      <c r="F126" s="171"/>
      <c r="G126" s="171"/>
      <c r="H126" s="171"/>
      <c r="I126" s="171"/>
      <c r="J126" s="171"/>
      <c r="K126" s="171"/>
      <c r="L126" s="171"/>
      <c r="M126" s="171"/>
      <c r="N126" s="171"/>
      <c r="O126" s="171">
        <v>776523896</v>
      </c>
      <c r="P126" s="171"/>
      <c r="Q126" s="261"/>
      <c r="R126" s="261"/>
      <c r="S126" s="261">
        <f>+(12368738*94%)</f>
        <v>11626613.719999999</v>
      </c>
      <c r="T126" s="261">
        <f>+(64193115*94%)</f>
        <v>60341528.099999994</v>
      </c>
      <c r="U126" s="261">
        <f>+(146115757*94%)</f>
        <v>137348811.57999998</v>
      </c>
      <c r="V126" s="171"/>
      <c r="W126" s="171"/>
      <c r="X126" s="171"/>
      <c r="Y126" s="182">
        <f t="shared" si="54"/>
        <v>209316953.39999998</v>
      </c>
      <c r="Z126" s="194">
        <f t="shared" si="53"/>
        <v>567206942.60000002</v>
      </c>
      <c r="AA126" s="154"/>
    </row>
    <row r="127" spans="1:27" ht="15" customHeight="1" x14ac:dyDescent="0.25">
      <c r="A127" s="155" t="s">
        <v>21</v>
      </c>
      <c r="B127" s="202"/>
      <c r="C127" s="202"/>
      <c r="D127" s="203"/>
      <c r="E127" s="158">
        <f>SUM(E124:E125)</f>
        <v>924523896</v>
      </c>
      <c r="F127" s="158">
        <f>SUM(F124:F125)</f>
        <v>0</v>
      </c>
      <c r="G127" s="158"/>
      <c r="H127" s="158">
        <f>SUM(H124:H125)</f>
        <v>0</v>
      </c>
      <c r="I127" s="158">
        <f>SUM(I124:I125)</f>
        <v>0</v>
      </c>
      <c r="J127" s="158"/>
      <c r="K127" s="158"/>
      <c r="L127" s="158"/>
      <c r="M127" s="158" t="e">
        <f>+#REF!+#REF!+M124</f>
        <v>#REF!</v>
      </c>
      <c r="N127" s="158">
        <f>SUM(N124:N125)</f>
        <v>924523896</v>
      </c>
      <c r="O127" s="158">
        <f>+O124+O126</f>
        <v>776523896</v>
      </c>
      <c r="P127" s="158">
        <f>N127-O127</f>
        <v>148000000</v>
      </c>
      <c r="Q127" s="258">
        <f t="shared" ref="Q127:Z127" si="55">SUM(Q124:Q126)</f>
        <v>0</v>
      </c>
      <c r="R127" s="258">
        <f t="shared" si="55"/>
        <v>0</v>
      </c>
      <c r="S127" s="258">
        <f t="shared" si="55"/>
        <v>11626613.719999999</v>
      </c>
      <c r="T127" s="258">
        <f t="shared" si="55"/>
        <v>60341528.099999994</v>
      </c>
      <c r="U127" s="258">
        <f t="shared" si="55"/>
        <v>137348811.57999998</v>
      </c>
      <c r="V127" s="158">
        <f t="shared" si="55"/>
        <v>0</v>
      </c>
      <c r="W127" s="158">
        <f t="shared" si="55"/>
        <v>0</v>
      </c>
      <c r="X127" s="158">
        <f t="shared" si="55"/>
        <v>0</v>
      </c>
      <c r="Y127" s="158">
        <f t="shared" si="55"/>
        <v>209316953.39999998</v>
      </c>
      <c r="Z127" s="195">
        <f t="shared" si="55"/>
        <v>567206942.60000002</v>
      </c>
      <c r="AA127" s="154"/>
    </row>
    <row r="128" spans="1:27" ht="15" customHeight="1" x14ac:dyDescent="0.25">
      <c r="A128" s="191" t="s">
        <v>23</v>
      </c>
      <c r="B128" s="180" t="s">
        <v>46</v>
      </c>
      <c r="C128" s="180">
        <v>1</v>
      </c>
      <c r="D128" s="181">
        <v>114348000</v>
      </c>
      <c r="E128" s="182">
        <v>80348000</v>
      </c>
      <c r="F128" s="182">
        <v>0</v>
      </c>
      <c r="G128" s="182">
        <v>0</v>
      </c>
      <c r="H128" s="182"/>
      <c r="I128" s="182">
        <v>0</v>
      </c>
      <c r="J128" s="182">
        <v>0</v>
      </c>
      <c r="K128" s="182">
        <v>0</v>
      </c>
      <c r="L128" s="182"/>
      <c r="M128" s="182">
        <v>0</v>
      </c>
      <c r="N128" s="182">
        <f>SUM(E128:M128)</f>
        <v>80348000</v>
      </c>
      <c r="O128" s="182"/>
      <c r="P128" s="182">
        <f>+N128-O129</f>
        <v>0</v>
      </c>
      <c r="Q128" s="263">
        <f>+Q129</f>
        <v>0</v>
      </c>
      <c r="R128" s="263">
        <f>+R129</f>
        <v>0</v>
      </c>
      <c r="S128" s="263">
        <f t="shared" ref="S128:X128" si="56">+S129</f>
        <v>0</v>
      </c>
      <c r="T128" s="263">
        <f t="shared" si="56"/>
        <v>0</v>
      </c>
      <c r="U128" s="263"/>
      <c r="V128" s="182"/>
      <c r="W128" s="182">
        <f t="shared" si="56"/>
        <v>0</v>
      </c>
      <c r="X128" s="182">
        <f t="shared" si="56"/>
        <v>0</v>
      </c>
      <c r="Y128" s="182">
        <f>SUM(Q128:X128)</f>
        <v>0</v>
      </c>
      <c r="Z128" s="194">
        <f>O128-Y128</f>
        <v>0</v>
      </c>
      <c r="AA128" s="154"/>
    </row>
    <row r="129" spans="1:28" ht="15" customHeight="1" x14ac:dyDescent="0.25">
      <c r="A129" s="94" t="s">
        <v>227</v>
      </c>
      <c r="B129" s="176"/>
      <c r="C129" s="176"/>
      <c r="D129" s="170"/>
      <c r="E129" s="172">
        <v>80348000</v>
      </c>
      <c r="F129" s="172"/>
      <c r="G129" s="172"/>
      <c r="H129" s="172"/>
      <c r="I129" s="172"/>
      <c r="J129" s="172"/>
      <c r="K129" s="172"/>
      <c r="L129" s="172"/>
      <c r="M129" s="172"/>
      <c r="N129" s="172"/>
      <c r="O129" s="172">
        <v>80348000</v>
      </c>
      <c r="P129" s="172"/>
      <c r="Q129" s="261"/>
      <c r="R129" s="261"/>
      <c r="S129" s="261"/>
      <c r="T129" s="261"/>
      <c r="U129" s="261">
        <v>36995760</v>
      </c>
      <c r="V129" s="171"/>
      <c r="W129" s="171"/>
      <c r="X129" s="171"/>
      <c r="Y129" s="182">
        <f>SUM(Q129:X129)</f>
        <v>36995760</v>
      </c>
      <c r="Z129" s="194">
        <f>O129-Y129</f>
        <v>43352240</v>
      </c>
      <c r="AA129" s="154"/>
    </row>
    <row r="130" spans="1:28" ht="15" customHeight="1" x14ac:dyDescent="0.25">
      <c r="A130" s="155" t="s">
        <v>24</v>
      </c>
      <c r="B130" s="202"/>
      <c r="C130" s="202"/>
      <c r="D130" s="203"/>
      <c r="E130" s="158">
        <f>+E128</f>
        <v>80348000</v>
      </c>
      <c r="F130" s="158">
        <f t="shared" ref="F130:N130" si="57">+F128</f>
        <v>0</v>
      </c>
      <c r="G130" s="158">
        <f t="shared" si="57"/>
        <v>0</v>
      </c>
      <c r="H130" s="158">
        <f t="shared" si="57"/>
        <v>0</v>
      </c>
      <c r="I130" s="158">
        <f t="shared" si="57"/>
        <v>0</v>
      </c>
      <c r="J130" s="158">
        <f t="shared" si="57"/>
        <v>0</v>
      </c>
      <c r="K130" s="158">
        <f t="shared" si="57"/>
        <v>0</v>
      </c>
      <c r="L130" s="158">
        <f t="shared" si="57"/>
        <v>0</v>
      </c>
      <c r="M130" s="158">
        <f t="shared" si="57"/>
        <v>0</v>
      </c>
      <c r="N130" s="158">
        <f t="shared" si="57"/>
        <v>80348000</v>
      </c>
      <c r="O130" s="158">
        <f>+O128+O129</f>
        <v>80348000</v>
      </c>
      <c r="P130" s="158">
        <f t="shared" si="52"/>
        <v>0</v>
      </c>
      <c r="Q130" s="258">
        <f>+Q129</f>
        <v>0</v>
      </c>
      <c r="R130" s="258">
        <f t="shared" ref="R130:Y130" si="58">+R129</f>
        <v>0</v>
      </c>
      <c r="S130" s="258">
        <f t="shared" si="58"/>
        <v>0</v>
      </c>
      <c r="T130" s="258">
        <f t="shared" si="58"/>
        <v>0</v>
      </c>
      <c r="U130" s="258">
        <f t="shared" si="58"/>
        <v>36995760</v>
      </c>
      <c r="V130" s="158">
        <f t="shared" si="58"/>
        <v>0</v>
      </c>
      <c r="W130" s="158">
        <f t="shared" si="58"/>
        <v>0</v>
      </c>
      <c r="X130" s="158">
        <f t="shared" si="58"/>
        <v>0</v>
      </c>
      <c r="Y130" s="158">
        <f t="shared" si="58"/>
        <v>36995760</v>
      </c>
      <c r="Z130" s="195">
        <f>SUM(Z128:Z129)</f>
        <v>43352240</v>
      </c>
      <c r="AA130" s="154"/>
    </row>
    <row r="131" spans="1:28" s="136" customFormat="1" ht="15" customHeight="1" x14ac:dyDescent="0.25">
      <c r="A131" s="191" t="s">
        <v>111</v>
      </c>
      <c r="B131" s="180">
        <v>401</v>
      </c>
      <c r="C131" s="180">
        <v>10</v>
      </c>
      <c r="D131" s="181">
        <v>3500</v>
      </c>
      <c r="E131" s="182">
        <v>13177500</v>
      </c>
      <c r="F131" s="182">
        <v>0</v>
      </c>
      <c r="G131" s="182">
        <v>0</v>
      </c>
      <c r="H131" s="182">
        <v>0</v>
      </c>
      <c r="I131" s="182">
        <v>0</v>
      </c>
      <c r="J131" s="182">
        <v>0</v>
      </c>
      <c r="K131" s="182">
        <v>0</v>
      </c>
      <c r="L131" s="182">
        <v>0</v>
      </c>
      <c r="M131" s="182">
        <v>0</v>
      </c>
      <c r="N131" s="182">
        <f>SUM(E131:M131)</f>
        <v>13177500</v>
      </c>
      <c r="O131" s="182">
        <f>Y131</f>
        <v>3296580</v>
      </c>
      <c r="P131" s="182">
        <f>N131-O131</f>
        <v>9880920</v>
      </c>
      <c r="Q131" s="263">
        <f>112000*94%</f>
        <v>105280</v>
      </c>
      <c r="R131" s="263">
        <f>(119000+119000)*94%</f>
        <v>223720</v>
      </c>
      <c r="S131" s="263">
        <f>(304500)*94%</f>
        <v>286230</v>
      </c>
      <c r="T131" s="263"/>
      <c r="U131" s="263">
        <f>(1431500+367500+931000+122500)*94%</f>
        <v>2681350</v>
      </c>
      <c r="V131" s="182">
        <v>0</v>
      </c>
      <c r="W131" s="182">
        <v>0</v>
      </c>
      <c r="X131" s="182">
        <v>0</v>
      </c>
      <c r="Y131" s="182">
        <f>SUM(Q131:X131)</f>
        <v>3296580</v>
      </c>
      <c r="Z131" s="204">
        <f>O131-Y131</f>
        <v>0</v>
      </c>
      <c r="AA131" s="186"/>
    </row>
    <row r="132" spans="1:28" s="136" customFormat="1" ht="15" customHeight="1" x14ac:dyDescent="0.25">
      <c r="A132" s="191" t="s">
        <v>49</v>
      </c>
      <c r="B132" s="180"/>
      <c r="C132" s="180"/>
      <c r="D132" s="181"/>
      <c r="E132" s="182">
        <v>22442615</v>
      </c>
      <c r="F132" s="182"/>
      <c r="G132" s="182"/>
      <c r="H132" s="182"/>
      <c r="I132" s="182"/>
      <c r="J132" s="182"/>
      <c r="K132" s="182"/>
      <c r="L132" s="182"/>
      <c r="M132" s="182"/>
      <c r="N132" s="182">
        <f>SUM(E132:M132)</f>
        <v>22442615</v>
      </c>
      <c r="O132" s="182">
        <f>Y132</f>
        <v>3137851.1639999999</v>
      </c>
      <c r="P132" s="182">
        <f>N132-O132</f>
        <v>19304763.835999999</v>
      </c>
      <c r="Q132" s="263"/>
      <c r="R132" s="263">
        <f>784462791*4/1000</f>
        <v>3137851.1639999999</v>
      </c>
      <c r="S132" s="263"/>
      <c r="T132" s="263"/>
      <c r="U132" s="263"/>
      <c r="V132" s="182"/>
      <c r="W132" s="182"/>
      <c r="X132" s="182"/>
      <c r="Y132" s="182">
        <f>SUM(Q132:X132)</f>
        <v>3137851.1639999999</v>
      </c>
      <c r="Z132" s="204">
        <f>O132-Y132</f>
        <v>0</v>
      </c>
      <c r="AA132" s="186"/>
    </row>
    <row r="133" spans="1:28" ht="15" customHeight="1" x14ac:dyDescent="0.25">
      <c r="A133" s="155" t="s">
        <v>25</v>
      </c>
      <c r="B133" s="202"/>
      <c r="C133" s="202"/>
      <c r="D133" s="203"/>
      <c r="E133" s="158">
        <f>+E131+E132</f>
        <v>35620115</v>
      </c>
      <c r="F133" s="158">
        <f>+F131</f>
        <v>0</v>
      </c>
      <c r="G133" s="158"/>
      <c r="H133" s="158">
        <f>+H131</f>
        <v>0</v>
      </c>
      <c r="I133" s="158">
        <f>+I131</f>
        <v>0</v>
      </c>
      <c r="J133" s="158"/>
      <c r="K133" s="158">
        <f>+K121+K123+K128+K130</f>
        <v>0</v>
      </c>
      <c r="L133" s="158">
        <f>+L131</f>
        <v>0</v>
      </c>
      <c r="M133" s="158" t="e">
        <f>+M121+M123+#REF!+M128+M130</f>
        <v>#REF!</v>
      </c>
      <c r="N133" s="158">
        <f>+N131+N132</f>
        <v>35620115</v>
      </c>
      <c r="O133" s="158">
        <f>+O131+O132</f>
        <v>6434431.1639999999</v>
      </c>
      <c r="P133" s="158">
        <f>+P131+P132</f>
        <v>29185683.835999999</v>
      </c>
      <c r="Q133" s="258">
        <f>+Q131+Q132</f>
        <v>105280</v>
      </c>
      <c r="R133" s="258">
        <f t="shared" ref="R133:X133" si="59">+R131+R132</f>
        <v>3361571.1639999999</v>
      </c>
      <c r="S133" s="258">
        <f t="shared" si="59"/>
        <v>286230</v>
      </c>
      <c r="T133" s="258">
        <f t="shared" si="59"/>
        <v>0</v>
      </c>
      <c r="U133" s="258">
        <f t="shared" si="59"/>
        <v>2681350</v>
      </c>
      <c r="V133" s="158">
        <f t="shared" si="59"/>
        <v>0</v>
      </c>
      <c r="W133" s="158">
        <f t="shared" si="59"/>
        <v>0</v>
      </c>
      <c r="X133" s="158">
        <f t="shared" si="59"/>
        <v>0</v>
      </c>
      <c r="Y133" s="158">
        <f>SUM(Y131:Y132)</f>
        <v>6434431.1639999999</v>
      </c>
      <c r="Z133" s="195">
        <f>SUM(Z131:Z132)</f>
        <v>0</v>
      </c>
      <c r="AA133" s="154"/>
    </row>
    <row r="134" spans="1:28" ht="15" customHeight="1" x14ac:dyDescent="0.25">
      <c r="A134" s="155" t="s">
        <v>102</v>
      </c>
      <c r="B134" s="202"/>
      <c r="C134" s="202"/>
      <c r="D134" s="203"/>
      <c r="E134" s="158">
        <f>E28+E101+E123+E127+E130+E133+E207</f>
        <v>5061050262.132</v>
      </c>
      <c r="F134" s="158">
        <f>F28+F101+F123+F127+F130+F133</f>
        <v>252150000</v>
      </c>
      <c r="G134" s="158"/>
      <c r="H134" s="158">
        <v>0</v>
      </c>
      <c r="I134" s="158">
        <v>0</v>
      </c>
      <c r="J134" s="158"/>
      <c r="K134" s="158">
        <f>K19+K22+K103+K110+K133</f>
        <v>0</v>
      </c>
      <c r="L134" s="158">
        <f>L19+L22+L103+L110+L133</f>
        <v>0</v>
      </c>
      <c r="M134" s="158"/>
      <c r="N134" s="158">
        <f>N28+N101+N123+N127+N130+N133</f>
        <v>5313200262.132</v>
      </c>
      <c r="O134" s="158">
        <f>O28+O101+O123+O127+O130+O133</f>
        <v>2280568427.164</v>
      </c>
      <c r="P134" s="158">
        <f>P28+P101+P123+P127+P130+P133</f>
        <v>3032631834.9679999</v>
      </c>
      <c r="Q134" s="258">
        <f>+Q133+Q130+Q102+Q127+Q123</f>
        <v>50076880.25</v>
      </c>
      <c r="R134" s="258">
        <f t="shared" ref="R134:U134" si="60">+R133+R130+R102+R127+R123</f>
        <v>54263871.163999997</v>
      </c>
      <c r="S134" s="258">
        <f t="shared" si="60"/>
        <v>80581143.719999999</v>
      </c>
      <c r="T134" s="258">
        <f t="shared" si="60"/>
        <v>240039478.5</v>
      </c>
      <c r="U134" s="258">
        <f t="shared" si="60"/>
        <v>478659333.01999998</v>
      </c>
      <c r="V134" s="158">
        <f t="shared" ref="V134:X134" si="61">+V133+V130+V102+V127+V123</f>
        <v>0</v>
      </c>
      <c r="W134" s="158">
        <f t="shared" si="61"/>
        <v>0</v>
      </c>
      <c r="X134" s="158">
        <f t="shared" si="61"/>
        <v>0</v>
      </c>
      <c r="Y134" s="158">
        <f t="shared" ref="Y134" si="62">Y28+Y101+Y123+Y127+Y130+Y133</f>
        <v>903620706.65400004</v>
      </c>
      <c r="Z134" s="195">
        <f>+Z133+Z130+Z127+Z123+Z102</f>
        <v>1376947720.51</v>
      </c>
      <c r="AA134" s="154"/>
      <c r="AB134" s="154"/>
    </row>
    <row r="135" spans="1:28" ht="15" customHeight="1" x14ac:dyDescent="0.25">
      <c r="A135" s="205" t="s">
        <v>99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64"/>
      <c r="R135" s="264"/>
      <c r="S135" s="264"/>
      <c r="T135" s="264"/>
      <c r="U135" s="264"/>
      <c r="V135" s="206"/>
      <c r="W135" s="206"/>
      <c r="X135" s="206"/>
      <c r="Y135" s="206"/>
      <c r="Z135" s="207"/>
      <c r="AA135" s="154"/>
    </row>
    <row r="136" spans="1:28" s="136" customFormat="1" x14ac:dyDescent="0.25">
      <c r="A136" s="191" t="s">
        <v>28</v>
      </c>
      <c r="B136" s="180">
        <v>48</v>
      </c>
      <c r="C136" s="180">
        <v>6</v>
      </c>
      <c r="D136" s="181">
        <v>0</v>
      </c>
      <c r="E136" s="182"/>
      <c r="F136" s="182">
        <v>0</v>
      </c>
      <c r="G136" s="182">
        <v>0</v>
      </c>
      <c r="H136" s="182">
        <v>176400000</v>
      </c>
      <c r="I136" s="182"/>
      <c r="J136" s="182">
        <v>0</v>
      </c>
      <c r="K136" s="182"/>
      <c r="L136" s="182">
        <v>0</v>
      </c>
      <c r="M136" s="182">
        <v>0</v>
      </c>
      <c r="N136" s="182">
        <f>SUM(E136:M136)</f>
        <v>176400000</v>
      </c>
      <c r="O136" s="182">
        <f>SUM(Q136:X136)</f>
        <v>25574400</v>
      </c>
      <c r="P136" s="182">
        <f>N136-O136</f>
        <v>150825600</v>
      </c>
      <c r="Q136" s="263">
        <f>10860000*6%</f>
        <v>651600</v>
      </c>
      <c r="R136" s="263">
        <f>(14490000+7080000)*6%</f>
        <v>1294200</v>
      </c>
      <c r="S136" s="263">
        <f>(40470000)*6%</f>
        <v>2428200</v>
      </c>
      <c r="T136" s="263">
        <f>(120720000)*6%</f>
        <v>7243200</v>
      </c>
      <c r="U136" s="263">
        <f>(215730000+120000+13740000+3030000)*6%</f>
        <v>13957200</v>
      </c>
      <c r="V136" s="182">
        <v>0</v>
      </c>
      <c r="W136" s="182">
        <v>0</v>
      </c>
      <c r="X136" s="182">
        <v>0</v>
      </c>
      <c r="Y136" s="182">
        <f>SUM(Q136:X136)</f>
        <v>25574400</v>
      </c>
      <c r="Z136" s="208">
        <f>O136-Y136</f>
        <v>0</v>
      </c>
    </row>
    <row r="137" spans="1:28" x14ac:dyDescent="0.25">
      <c r="A137" s="155" t="s">
        <v>35</v>
      </c>
      <c r="B137" s="202"/>
      <c r="C137" s="202"/>
      <c r="D137" s="203"/>
      <c r="E137" s="158">
        <f t="shared" ref="E137:P137" si="63">+E136</f>
        <v>0</v>
      </c>
      <c r="F137" s="158">
        <f t="shared" si="63"/>
        <v>0</v>
      </c>
      <c r="G137" s="158">
        <f t="shared" si="63"/>
        <v>0</v>
      </c>
      <c r="H137" s="158">
        <f t="shared" si="63"/>
        <v>176400000</v>
      </c>
      <c r="I137" s="158">
        <f t="shared" si="63"/>
        <v>0</v>
      </c>
      <c r="J137" s="158">
        <f t="shared" si="63"/>
        <v>0</v>
      </c>
      <c r="K137" s="158"/>
      <c r="L137" s="158">
        <f t="shared" si="63"/>
        <v>0</v>
      </c>
      <c r="M137" s="158">
        <f t="shared" si="63"/>
        <v>0</v>
      </c>
      <c r="N137" s="158">
        <f>+N136</f>
        <v>176400000</v>
      </c>
      <c r="O137" s="158">
        <f>O136</f>
        <v>25574400</v>
      </c>
      <c r="P137" s="158">
        <f t="shared" si="63"/>
        <v>150825600</v>
      </c>
      <c r="Q137" s="258">
        <f>+Q136</f>
        <v>651600</v>
      </c>
      <c r="R137" s="258">
        <f t="shared" ref="R137:X137" si="64">+R136</f>
        <v>1294200</v>
      </c>
      <c r="S137" s="258">
        <f t="shared" si="64"/>
        <v>2428200</v>
      </c>
      <c r="T137" s="258">
        <f t="shared" si="64"/>
        <v>7243200</v>
      </c>
      <c r="U137" s="258">
        <f t="shared" si="64"/>
        <v>13957200</v>
      </c>
      <c r="V137" s="158">
        <f t="shared" si="64"/>
        <v>0</v>
      </c>
      <c r="W137" s="158">
        <f t="shared" si="64"/>
        <v>0</v>
      </c>
      <c r="X137" s="158">
        <f t="shared" si="64"/>
        <v>0</v>
      </c>
      <c r="Y137" s="158">
        <f t="shared" ref="Y137" si="65">+Y136</f>
        <v>25574400</v>
      </c>
      <c r="Z137" s="195">
        <f>O137-Y137</f>
        <v>0</v>
      </c>
    </row>
    <row r="138" spans="1:28" ht="15" customHeight="1" x14ac:dyDescent="0.25">
      <c r="A138" s="160" t="s">
        <v>61</v>
      </c>
      <c r="B138" s="161">
        <v>1</v>
      </c>
      <c r="C138" s="161">
        <v>12</v>
      </c>
      <c r="D138" s="162">
        <v>5300000</v>
      </c>
      <c r="E138" s="162"/>
      <c r="F138" s="164"/>
      <c r="G138" s="164"/>
      <c r="H138" s="165">
        <f>+H139</f>
        <v>16000000</v>
      </c>
      <c r="I138" s="164"/>
      <c r="J138" s="164"/>
      <c r="K138" s="164"/>
      <c r="L138" s="164"/>
      <c r="M138" s="164"/>
      <c r="N138" s="165">
        <f>H138</f>
        <v>16000000</v>
      </c>
      <c r="O138" s="165"/>
      <c r="P138" s="165">
        <f>+N138-O139</f>
        <v>0</v>
      </c>
      <c r="Q138" s="259">
        <f>+Q139</f>
        <v>971666.75</v>
      </c>
      <c r="R138" s="259">
        <f t="shared" ref="R138:X138" si="66">+R139</f>
        <v>1325000</v>
      </c>
      <c r="S138" s="259">
        <f t="shared" si="66"/>
        <v>1325000</v>
      </c>
      <c r="T138" s="259">
        <f t="shared" si="66"/>
        <v>1325000</v>
      </c>
      <c r="U138" s="259">
        <f t="shared" si="66"/>
        <v>1325000</v>
      </c>
      <c r="V138" s="165">
        <f t="shared" si="66"/>
        <v>0</v>
      </c>
      <c r="W138" s="165">
        <f t="shared" si="66"/>
        <v>0</v>
      </c>
      <c r="X138" s="165">
        <f t="shared" si="66"/>
        <v>0</v>
      </c>
      <c r="Y138" s="165">
        <f>SUM(Y139)</f>
        <v>6271666.75</v>
      </c>
      <c r="Z138" s="209">
        <f>+Z139</f>
        <v>9728333.25</v>
      </c>
      <c r="AA138" s="154"/>
    </row>
    <row r="139" spans="1:28" ht="15" customHeight="1" x14ac:dyDescent="0.25">
      <c r="A139" s="167" t="s">
        <v>98</v>
      </c>
      <c r="B139" s="168"/>
      <c r="C139" s="168"/>
      <c r="D139" s="169">
        <v>0</v>
      </c>
      <c r="E139" s="169"/>
      <c r="F139" s="171"/>
      <c r="G139" s="171"/>
      <c r="H139" s="172">
        <v>16000000</v>
      </c>
      <c r="I139" s="171"/>
      <c r="J139" s="171"/>
      <c r="K139" s="171"/>
      <c r="L139" s="171"/>
      <c r="M139" s="171"/>
      <c r="N139" s="171"/>
      <c r="O139" s="171">
        <f>H139</f>
        <v>16000000</v>
      </c>
      <c r="P139" s="171"/>
      <c r="Q139" s="260">
        <f>3886667*25%</f>
        <v>971666.75</v>
      </c>
      <c r="R139" s="260">
        <f>5300000*25%</f>
        <v>1325000</v>
      </c>
      <c r="S139" s="260">
        <f>5300000*25%</f>
        <v>1325000</v>
      </c>
      <c r="T139" s="260">
        <f>5300000*25%</f>
        <v>1325000</v>
      </c>
      <c r="U139" s="260">
        <f>5300000*25%</f>
        <v>1325000</v>
      </c>
      <c r="V139" s="171">
        <v>0</v>
      </c>
      <c r="W139" s="171">
        <v>0</v>
      </c>
      <c r="X139" s="171">
        <v>0</v>
      </c>
      <c r="Y139" s="182">
        <f>SUM(Q139:X139)</f>
        <v>6271666.75</v>
      </c>
      <c r="Z139" s="208">
        <f>O139-Y139</f>
        <v>9728333.25</v>
      </c>
      <c r="AA139" s="154"/>
    </row>
    <row r="140" spans="1:28" ht="15" customHeight="1" x14ac:dyDescent="0.25">
      <c r="A140" s="167"/>
      <c r="B140" s="168"/>
      <c r="C140" s="168"/>
      <c r="D140" s="169"/>
      <c r="E140" s="169"/>
      <c r="F140" s="171"/>
      <c r="G140" s="171"/>
      <c r="H140" s="172"/>
      <c r="I140" s="171"/>
      <c r="J140" s="171"/>
      <c r="K140" s="171"/>
      <c r="L140" s="171"/>
      <c r="M140" s="171"/>
      <c r="N140" s="171"/>
      <c r="O140" s="171"/>
      <c r="P140" s="171"/>
      <c r="Q140" s="261"/>
      <c r="R140" s="261"/>
      <c r="S140" s="261"/>
      <c r="T140" s="261"/>
      <c r="U140" s="261"/>
      <c r="V140" s="171"/>
      <c r="W140" s="171"/>
      <c r="X140" s="171"/>
      <c r="Y140" s="171"/>
      <c r="Z140" s="194"/>
      <c r="AA140" s="154"/>
    </row>
    <row r="141" spans="1:28" ht="15" customHeight="1" x14ac:dyDescent="0.25">
      <c r="A141" s="160" t="s">
        <v>159</v>
      </c>
      <c r="B141" s="161">
        <v>3</v>
      </c>
      <c r="C141" s="161">
        <v>10</v>
      </c>
      <c r="D141" s="162">
        <v>1995000</v>
      </c>
      <c r="E141" s="162"/>
      <c r="F141" s="164"/>
      <c r="G141" s="164"/>
      <c r="H141" s="165">
        <f>(B141*C141*D141)*0.7</f>
        <v>41895000</v>
      </c>
      <c r="I141" s="164"/>
      <c r="J141" s="164"/>
      <c r="K141" s="164"/>
      <c r="L141" s="164"/>
      <c r="M141" s="164"/>
      <c r="N141" s="165">
        <f>H141</f>
        <v>41895000</v>
      </c>
      <c r="O141" s="165">
        <f>SUM(O142:O145)</f>
        <v>41895000</v>
      </c>
      <c r="P141" s="165">
        <f>N141-O141</f>
        <v>0</v>
      </c>
      <c r="Q141" s="259">
        <f t="shared" ref="Q141:Z141" si="67">SUM(Q142:Q145)</f>
        <v>744800</v>
      </c>
      <c r="R141" s="259">
        <f t="shared" si="67"/>
        <v>1396500</v>
      </c>
      <c r="S141" s="259">
        <f t="shared" si="67"/>
        <v>1396500</v>
      </c>
      <c r="T141" s="259">
        <f t="shared" si="67"/>
        <v>3537800</v>
      </c>
      <c r="U141" s="259">
        <f t="shared" si="67"/>
        <v>4236050</v>
      </c>
      <c r="V141" s="165">
        <f t="shared" si="67"/>
        <v>0</v>
      </c>
      <c r="W141" s="165">
        <f t="shared" si="67"/>
        <v>0</v>
      </c>
      <c r="X141" s="165">
        <f t="shared" si="67"/>
        <v>0</v>
      </c>
      <c r="Y141" s="165">
        <f t="shared" si="67"/>
        <v>11311650</v>
      </c>
      <c r="Z141" s="165">
        <f t="shared" si="67"/>
        <v>30583350</v>
      </c>
    </row>
    <row r="142" spans="1:28" ht="15" customHeight="1" x14ac:dyDescent="0.25">
      <c r="A142" s="179" t="s">
        <v>190</v>
      </c>
      <c r="B142" s="176">
        <v>1</v>
      </c>
      <c r="C142" s="176">
        <v>4.5</v>
      </c>
      <c r="D142" s="181">
        <v>1995000</v>
      </c>
      <c r="E142" s="170"/>
      <c r="F142" s="172"/>
      <c r="G142" s="172"/>
      <c r="H142" s="181">
        <f>(C142*D142)*70%</f>
        <v>6284250</v>
      </c>
      <c r="I142" s="172"/>
      <c r="J142" s="172"/>
      <c r="K142" s="172"/>
      <c r="L142" s="172"/>
      <c r="M142" s="172"/>
      <c r="N142" s="172"/>
      <c r="O142" s="172">
        <f>H142</f>
        <v>6284250</v>
      </c>
      <c r="P142" s="172"/>
      <c r="Q142" s="261">
        <f>1064000*70%</f>
        <v>744800</v>
      </c>
      <c r="R142" s="261">
        <f>1995000*70%</f>
        <v>1396500</v>
      </c>
      <c r="S142" s="261">
        <f>1995000*70%</f>
        <v>1396500</v>
      </c>
      <c r="T142" s="261">
        <f t="shared" ref="T142" si="68">1995000*70%</f>
        <v>1396500</v>
      </c>
      <c r="U142" s="261">
        <f>1928500*70%</f>
        <v>1349950</v>
      </c>
      <c r="V142" s="171">
        <v>0</v>
      </c>
      <c r="W142" s="171">
        <v>0</v>
      </c>
      <c r="X142" s="171">
        <v>0</v>
      </c>
      <c r="Y142" s="182">
        <f>SUM(Q142:X142)</f>
        <v>6284250</v>
      </c>
      <c r="Z142" s="208">
        <f>O142-Y142</f>
        <v>0</v>
      </c>
    </row>
    <row r="143" spans="1:28" ht="15" customHeight="1" x14ac:dyDescent="0.25">
      <c r="A143" s="179" t="s">
        <v>215</v>
      </c>
      <c r="B143" s="176"/>
      <c r="C143" s="176">
        <v>7.5</v>
      </c>
      <c r="D143" s="181">
        <v>1995000</v>
      </c>
      <c r="E143" s="170"/>
      <c r="F143" s="172"/>
      <c r="G143" s="172"/>
      <c r="H143" s="181">
        <f t="shared" ref="H143:H145" si="69">(C143*D143)*70%</f>
        <v>10473750</v>
      </c>
      <c r="I143" s="172"/>
      <c r="J143" s="172"/>
      <c r="K143" s="172"/>
      <c r="L143" s="172"/>
      <c r="M143" s="172"/>
      <c r="N143" s="172"/>
      <c r="O143" s="172">
        <f t="shared" ref="O143:O145" si="70">H143</f>
        <v>10473750</v>
      </c>
      <c r="P143" s="172"/>
      <c r="Q143" s="261"/>
      <c r="R143" s="261"/>
      <c r="S143" s="261"/>
      <c r="T143" s="261"/>
      <c r="U143" s="261">
        <f>133000*70%</f>
        <v>93100</v>
      </c>
      <c r="V143" s="171"/>
      <c r="W143" s="171"/>
      <c r="X143" s="171"/>
      <c r="Y143" s="182">
        <f>SUM(Q143:X143)</f>
        <v>93100</v>
      </c>
      <c r="Z143" s="208">
        <f>O143-Y143</f>
        <v>10380650</v>
      </c>
    </row>
    <row r="144" spans="1:28" ht="15" customHeight="1" x14ac:dyDescent="0.25">
      <c r="A144" s="179" t="s">
        <v>167</v>
      </c>
      <c r="B144" s="176">
        <v>1</v>
      </c>
      <c r="C144" s="176">
        <v>9</v>
      </c>
      <c r="D144" s="181">
        <v>1995000</v>
      </c>
      <c r="E144" s="170"/>
      <c r="F144" s="172"/>
      <c r="G144" s="172"/>
      <c r="H144" s="181">
        <f>(C144*D144)*70%</f>
        <v>12568500</v>
      </c>
      <c r="I144" s="172"/>
      <c r="J144" s="172"/>
      <c r="K144" s="172"/>
      <c r="L144" s="172"/>
      <c r="M144" s="172"/>
      <c r="N144" s="172"/>
      <c r="O144" s="172">
        <f t="shared" si="70"/>
        <v>12568500</v>
      </c>
      <c r="P144" s="172"/>
      <c r="Q144" s="261"/>
      <c r="R144" s="261"/>
      <c r="S144" s="261"/>
      <c r="T144" s="261">
        <f>1529500*70%</f>
        <v>1070650</v>
      </c>
      <c r="U144" s="261">
        <f>1995000*70%</f>
        <v>1396500</v>
      </c>
      <c r="V144" s="171"/>
      <c r="W144" s="171">
        <v>0</v>
      </c>
      <c r="X144" s="171">
        <v>0</v>
      </c>
      <c r="Y144" s="182">
        <f>SUM(Q144:X144)</f>
        <v>2467150</v>
      </c>
      <c r="Z144" s="208">
        <f>O144-Y144</f>
        <v>10101350</v>
      </c>
    </row>
    <row r="145" spans="1:27" ht="15" customHeight="1" x14ac:dyDescent="0.25">
      <c r="A145" s="179" t="s">
        <v>168</v>
      </c>
      <c r="B145" s="176">
        <v>1</v>
      </c>
      <c r="C145" s="176">
        <v>9</v>
      </c>
      <c r="D145" s="181">
        <v>1995000</v>
      </c>
      <c r="E145" s="170"/>
      <c r="F145" s="172"/>
      <c r="G145" s="172"/>
      <c r="H145" s="181">
        <f t="shared" si="69"/>
        <v>12568500</v>
      </c>
      <c r="I145" s="172"/>
      <c r="J145" s="172"/>
      <c r="K145" s="172"/>
      <c r="L145" s="172"/>
      <c r="M145" s="172"/>
      <c r="N145" s="172"/>
      <c r="O145" s="172">
        <f t="shared" si="70"/>
        <v>12568500</v>
      </c>
      <c r="P145" s="172"/>
      <c r="Q145" s="261"/>
      <c r="R145" s="261"/>
      <c r="S145" s="261"/>
      <c r="T145" s="261">
        <f>1529500*70%</f>
        <v>1070650</v>
      </c>
      <c r="U145" s="261">
        <f>1995000*70%</f>
        <v>1396500</v>
      </c>
      <c r="V145" s="171"/>
      <c r="W145" s="171"/>
      <c r="X145" s="171"/>
      <c r="Y145" s="182">
        <f>SUM(Q145:X145)</f>
        <v>2467150</v>
      </c>
      <c r="Z145" s="208">
        <f>O145-Y145</f>
        <v>10101350</v>
      </c>
    </row>
    <row r="146" spans="1:27" ht="15" customHeight="1" x14ac:dyDescent="0.25">
      <c r="A146" s="167"/>
      <c r="B146" s="176"/>
      <c r="C146" s="176"/>
      <c r="D146" s="170"/>
      <c r="E146" s="170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261"/>
      <c r="R146" s="261"/>
      <c r="S146" s="261"/>
      <c r="T146" s="261"/>
      <c r="U146" s="261"/>
      <c r="V146" s="171"/>
      <c r="W146" s="171"/>
      <c r="X146" s="171"/>
      <c r="Y146" s="182"/>
      <c r="Z146" s="208"/>
    </row>
    <row r="147" spans="1:27" ht="15" customHeight="1" x14ac:dyDescent="0.25">
      <c r="A147" s="160" t="s">
        <v>157</v>
      </c>
      <c r="B147" s="161">
        <v>4</v>
      </c>
      <c r="C147" s="161">
        <v>9</v>
      </c>
      <c r="D147" s="162">
        <v>1995000</v>
      </c>
      <c r="E147" s="162">
        <v>0</v>
      </c>
      <c r="F147" s="164">
        <v>0</v>
      </c>
      <c r="G147" s="164">
        <v>0</v>
      </c>
      <c r="H147" s="165">
        <v>31920000</v>
      </c>
      <c r="I147" s="164">
        <v>0</v>
      </c>
      <c r="J147" s="164">
        <v>0</v>
      </c>
      <c r="K147" s="164">
        <v>0</v>
      </c>
      <c r="L147" s="164"/>
      <c r="M147" s="164">
        <v>0</v>
      </c>
      <c r="N147" s="165">
        <f>SUM(E147:M147)</f>
        <v>31920000</v>
      </c>
      <c r="O147" s="165">
        <f>SUM(O148:O151)</f>
        <v>31920000</v>
      </c>
      <c r="P147" s="165">
        <f>N147-O147</f>
        <v>0</v>
      </c>
      <c r="Q147" s="265">
        <f>+Q162</f>
        <v>0</v>
      </c>
      <c r="R147" s="265">
        <f>+R162</f>
        <v>0</v>
      </c>
      <c r="S147" s="265">
        <v>0</v>
      </c>
      <c r="T147" s="259">
        <f>+T148+T149+T150+T151</f>
        <v>1141140</v>
      </c>
      <c r="U147" s="259">
        <f>+U148+U149+U150+U151</f>
        <v>2750440</v>
      </c>
      <c r="V147" s="164">
        <f>+V142+V144</f>
        <v>0</v>
      </c>
      <c r="W147" s="164">
        <f>+W142+W144</f>
        <v>0</v>
      </c>
      <c r="X147" s="164">
        <f>+X142+X144</f>
        <v>0</v>
      </c>
      <c r="Y147" s="165">
        <f>SUM(Y148:Y151)</f>
        <v>3891580</v>
      </c>
      <c r="Z147" s="209">
        <f>SUM(Z148:Z151)</f>
        <v>28028420</v>
      </c>
    </row>
    <row r="148" spans="1:27" s="136" customFormat="1" ht="15" customHeight="1" x14ac:dyDescent="0.25">
      <c r="A148" s="188" t="s">
        <v>180</v>
      </c>
      <c r="B148" s="180">
        <v>1</v>
      </c>
      <c r="C148" s="180">
        <v>9</v>
      </c>
      <c r="D148" s="181">
        <v>1995000</v>
      </c>
      <c r="E148" s="181"/>
      <c r="F148" s="182"/>
      <c r="G148" s="182"/>
      <c r="H148" s="182">
        <v>7980000</v>
      </c>
      <c r="I148" s="182"/>
      <c r="J148" s="182"/>
      <c r="K148" s="182"/>
      <c r="L148" s="182"/>
      <c r="M148" s="182"/>
      <c r="N148" s="189"/>
      <c r="O148" s="172">
        <f t="shared" ref="O148:O151" si="71">H148</f>
        <v>7980000</v>
      </c>
      <c r="P148" s="189"/>
      <c r="Q148" s="263"/>
      <c r="R148" s="263"/>
      <c r="S148" s="263"/>
      <c r="T148" s="263">
        <f>(1263500*44%)</f>
        <v>555940</v>
      </c>
      <c r="U148" s="263">
        <f>(1995000*44%)</f>
        <v>877800</v>
      </c>
      <c r="V148" s="182"/>
      <c r="W148" s="182"/>
      <c r="X148" s="182"/>
      <c r="Y148" s="182">
        <f>SUM(Q148:X148)</f>
        <v>1433740</v>
      </c>
      <c r="Z148" s="208">
        <f>O148-Y148</f>
        <v>6546260</v>
      </c>
    </row>
    <row r="149" spans="1:27" s="136" customFormat="1" ht="15" customHeight="1" x14ac:dyDescent="0.25">
      <c r="A149" s="188" t="s">
        <v>181</v>
      </c>
      <c r="B149" s="180">
        <v>1</v>
      </c>
      <c r="C149" s="180">
        <v>9</v>
      </c>
      <c r="D149" s="181">
        <v>1995000</v>
      </c>
      <c r="E149" s="181"/>
      <c r="F149" s="182"/>
      <c r="G149" s="182"/>
      <c r="H149" s="182">
        <v>7980000</v>
      </c>
      <c r="I149" s="182"/>
      <c r="J149" s="182"/>
      <c r="K149" s="182"/>
      <c r="L149" s="182"/>
      <c r="M149" s="182"/>
      <c r="N149" s="189"/>
      <c r="O149" s="172">
        <f t="shared" si="71"/>
        <v>7980000</v>
      </c>
      <c r="P149" s="189"/>
      <c r="Q149" s="263"/>
      <c r="R149" s="263"/>
      <c r="S149" s="263"/>
      <c r="T149" s="263">
        <f>(731500*44%)</f>
        <v>321860</v>
      </c>
      <c r="U149" s="263">
        <f t="shared" ref="U149:U150" si="72">(1995000*44%)</f>
        <v>877800</v>
      </c>
      <c r="V149" s="182"/>
      <c r="W149" s="182"/>
      <c r="X149" s="182"/>
      <c r="Y149" s="182">
        <f>SUM(Q149:X149)</f>
        <v>1199660</v>
      </c>
      <c r="Z149" s="208">
        <f>O149-Y149</f>
        <v>6780340</v>
      </c>
    </row>
    <row r="150" spans="1:27" s="136" customFormat="1" ht="15" customHeight="1" x14ac:dyDescent="0.25">
      <c r="A150" s="188" t="s">
        <v>182</v>
      </c>
      <c r="B150" s="180">
        <v>1</v>
      </c>
      <c r="C150" s="180">
        <v>9</v>
      </c>
      <c r="D150" s="181">
        <v>1995000</v>
      </c>
      <c r="E150" s="181"/>
      <c r="F150" s="182"/>
      <c r="G150" s="182"/>
      <c r="H150" s="182">
        <v>7980000</v>
      </c>
      <c r="I150" s="182"/>
      <c r="J150" s="182"/>
      <c r="K150" s="182"/>
      <c r="L150" s="182"/>
      <c r="M150" s="182"/>
      <c r="N150" s="189"/>
      <c r="O150" s="172">
        <f t="shared" si="71"/>
        <v>7980000</v>
      </c>
      <c r="P150" s="189"/>
      <c r="Q150" s="263"/>
      <c r="R150" s="263"/>
      <c r="S150" s="263"/>
      <c r="T150" s="263">
        <f>(598500*44%)</f>
        <v>263340</v>
      </c>
      <c r="U150" s="263">
        <f t="shared" si="72"/>
        <v>877800</v>
      </c>
      <c r="V150" s="182"/>
      <c r="W150" s="182"/>
      <c r="X150" s="182"/>
      <c r="Y150" s="182">
        <f>SUM(Q150:X150)</f>
        <v>1141140</v>
      </c>
      <c r="Z150" s="208">
        <f>O150-Y150</f>
        <v>6838860</v>
      </c>
    </row>
    <row r="151" spans="1:27" s="136" customFormat="1" ht="15" customHeight="1" x14ac:dyDescent="0.25">
      <c r="A151" s="191" t="s">
        <v>221</v>
      </c>
      <c r="B151" s="180">
        <v>1</v>
      </c>
      <c r="C151" s="180">
        <v>9</v>
      </c>
      <c r="D151" s="181">
        <v>1995000</v>
      </c>
      <c r="E151" s="181"/>
      <c r="F151" s="182"/>
      <c r="G151" s="182"/>
      <c r="H151" s="182">
        <v>7980000</v>
      </c>
      <c r="I151" s="182"/>
      <c r="J151" s="182"/>
      <c r="K151" s="182"/>
      <c r="L151" s="182"/>
      <c r="M151" s="182"/>
      <c r="N151" s="189"/>
      <c r="O151" s="172">
        <f t="shared" si="71"/>
        <v>7980000</v>
      </c>
      <c r="P151" s="189"/>
      <c r="Q151" s="263"/>
      <c r="R151" s="263"/>
      <c r="S151" s="263"/>
      <c r="T151" s="263"/>
      <c r="U151" s="263">
        <f>(266000*44%)</f>
        <v>117040</v>
      </c>
      <c r="V151" s="182"/>
      <c r="W151" s="182"/>
      <c r="X151" s="182"/>
      <c r="Y151" s="182">
        <f>SUM(Q151:X151)</f>
        <v>117040</v>
      </c>
      <c r="Z151" s="208">
        <f>O151-Y151</f>
        <v>7862960</v>
      </c>
    </row>
    <row r="152" spans="1:27" s="136" customFormat="1" ht="15" customHeight="1" x14ac:dyDescent="0.25">
      <c r="A152" s="210"/>
      <c r="B152" s="180"/>
      <c r="C152" s="180"/>
      <c r="D152" s="181"/>
      <c r="E152" s="181"/>
      <c r="F152" s="182"/>
      <c r="G152" s="182"/>
      <c r="H152" s="189"/>
      <c r="I152" s="182"/>
      <c r="J152" s="182"/>
      <c r="K152" s="182"/>
      <c r="L152" s="182"/>
      <c r="M152" s="182"/>
      <c r="N152" s="189"/>
      <c r="O152" s="189"/>
      <c r="P152" s="189"/>
      <c r="Q152" s="263"/>
      <c r="R152" s="263"/>
      <c r="S152" s="263"/>
      <c r="T152" s="263"/>
      <c r="U152" s="263"/>
      <c r="V152" s="182"/>
      <c r="W152" s="182"/>
      <c r="X152" s="182"/>
      <c r="Y152" s="189"/>
      <c r="Z152" s="204"/>
      <c r="AA152" s="186"/>
    </row>
    <row r="153" spans="1:27" ht="15" customHeight="1" x14ac:dyDescent="0.25">
      <c r="A153" s="160" t="s">
        <v>127</v>
      </c>
      <c r="B153" s="161">
        <v>8</v>
      </c>
      <c r="C153" s="161">
        <v>9</v>
      </c>
      <c r="D153" s="162">
        <v>1590000</v>
      </c>
      <c r="E153" s="162"/>
      <c r="F153" s="164"/>
      <c r="G153" s="164"/>
      <c r="H153" s="165">
        <v>50880000</v>
      </c>
      <c r="I153" s="164"/>
      <c r="J153" s="164"/>
      <c r="K153" s="164"/>
      <c r="L153" s="164"/>
      <c r="M153" s="164"/>
      <c r="N153" s="165">
        <f>SUM(E153:M153)</f>
        <v>50880000</v>
      </c>
      <c r="O153" s="165">
        <f>SUM(O154:O161)</f>
        <v>50880000</v>
      </c>
      <c r="P153" s="165">
        <f>N153-O153</f>
        <v>0</v>
      </c>
      <c r="Q153" s="259">
        <f t="shared" ref="Q153:Z153" si="73">SUM(Q154:Q161)</f>
        <v>0</v>
      </c>
      <c r="R153" s="259">
        <f t="shared" si="73"/>
        <v>0</v>
      </c>
      <c r="S153" s="259">
        <f t="shared" si="73"/>
        <v>0</v>
      </c>
      <c r="T153" s="259">
        <f t="shared" si="73"/>
        <v>1818960</v>
      </c>
      <c r="U153" s="259">
        <f t="shared" si="73"/>
        <v>4640680</v>
      </c>
      <c r="V153" s="165">
        <f t="shared" si="73"/>
        <v>0</v>
      </c>
      <c r="W153" s="165">
        <f t="shared" si="73"/>
        <v>0</v>
      </c>
      <c r="X153" s="165">
        <f t="shared" si="73"/>
        <v>0</v>
      </c>
      <c r="Y153" s="165">
        <f>SUM(Y154:Y161)</f>
        <v>6459640</v>
      </c>
      <c r="Z153" s="165">
        <f t="shared" si="73"/>
        <v>44420360</v>
      </c>
      <c r="AA153" s="154"/>
    </row>
    <row r="154" spans="1:27" s="136" customFormat="1" ht="15" customHeight="1" x14ac:dyDescent="0.25">
      <c r="A154" s="188" t="s">
        <v>183</v>
      </c>
      <c r="B154" s="180">
        <v>1</v>
      </c>
      <c r="C154" s="180">
        <v>9</v>
      </c>
      <c r="D154" s="181">
        <v>1590000</v>
      </c>
      <c r="E154" s="181"/>
      <c r="F154" s="182"/>
      <c r="G154" s="182"/>
      <c r="H154" s="182">
        <v>6360000</v>
      </c>
      <c r="I154" s="182"/>
      <c r="J154" s="182"/>
      <c r="K154" s="182"/>
      <c r="L154" s="182"/>
      <c r="M154" s="182"/>
      <c r="N154" s="189"/>
      <c r="O154" s="172">
        <f t="shared" ref="O154:O161" si="74">H154</f>
        <v>6360000</v>
      </c>
      <c r="P154" s="189"/>
      <c r="Q154" s="263"/>
      <c r="R154" s="263"/>
      <c r="S154" s="263"/>
      <c r="T154" s="263">
        <f>318000*44%</f>
        <v>139920</v>
      </c>
      <c r="U154" s="263">
        <f>1590000*44%</f>
        <v>699600</v>
      </c>
      <c r="V154" s="182"/>
      <c r="W154" s="182"/>
      <c r="X154" s="182"/>
      <c r="Y154" s="182">
        <f t="shared" ref="Y154:Y161" si="75">SUM(Q154:X154)</f>
        <v>839520</v>
      </c>
      <c r="Z154" s="208">
        <f t="shared" ref="Z154:Z161" si="76">O154-Y154</f>
        <v>5520480</v>
      </c>
    </row>
    <row r="155" spans="1:27" s="136" customFormat="1" ht="15" customHeight="1" x14ac:dyDescent="0.25">
      <c r="A155" s="188" t="s">
        <v>184</v>
      </c>
      <c r="B155" s="180">
        <v>1</v>
      </c>
      <c r="C155" s="180">
        <v>9</v>
      </c>
      <c r="D155" s="181">
        <v>1590000</v>
      </c>
      <c r="E155" s="181"/>
      <c r="F155" s="182"/>
      <c r="G155" s="182"/>
      <c r="H155" s="182">
        <v>6360000</v>
      </c>
      <c r="I155" s="182"/>
      <c r="J155" s="182"/>
      <c r="K155" s="182"/>
      <c r="L155" s="182"/>
      <c r="M155" s="182"/>
      <c r="N155" s="189"/>
      <c r="O155" s="172">
        <f t="shared" si="74"/>
        <v>6360000</v>
      </c>
      <c r="P155" s="189"/>
      <c r="Q155" s="263"/>
      <c r="R155" s="263"/>
      <c r="S155" s="263"/>
      <c r="T155" s="263">
        <f>1166000*44%</f>
        <v>513040</v>
      </c>
      <c r="U155" s="263">
        <f t="shared" ref="U155:U159" si="77">1590000*44%</f>
        <v>699600</v>
      </c>
      <c r="V155" s="182"/>
      <c r="W155" s="182"/>
      <c r="X155" s="182"/>
      <c r="Y155" s="182">
        <f t="shared" si="75"/>
        <v>1212640</v>
      </c>
      <c r="Z155" s="208">
        <f t="shared" si="76"/>
        <v>5147360</v>
      </c>
    </row>
    <row r="156" spans="1:27" s="136" customFormat="1" ht="15" customHeight="1" x14ac:dyDescent="0.25">
      <c r="A156" s="188" t="s">
        <v>185</v>
      </c>
      <c r="B156" s="180">
        <v>1</v>
      </c>
      <c r="C156" s="180">
        <v>9</v>
      </c>
      <c r="D156" s="181">
        <v>1590000</v>
      </c>
      <c r="E156" s="181"/>
      <c r="F156" s="182"/>
      <c r="G156" s="182"/>
      <c r="H156" s="182">
        <v>6360000</v>
      </c>
      <c r="I156" s="182"/>
      <c r="J156" s="182"/>
      <c r="K156" s="182"/>
      <c r="L156" s="182"/>
      <c r="M156" s="182"/>
      <c r="N156" s="189"/>
      <c r="O156" s="172">
        <f t="shared" si="74"/>
        <v>6360000</v>
      </c>
      <c r="P156" s="189"/>
      <c r="Q156" s="263"/>
      <c r="R156" s="263"/>
      <c r="S156" s="263"/>
      <c r="T156" s="263">
        <f>901000*44%</f>
        <v>396440</v>
      </c>
      <c r="U156" s="263">
        <f t="shared" si="77"/>
        <v>699600</v>
      </c>
      <c r="V156" s="182"/>
      <c r="W156" s="182"/>
      <c r="X156" s="182"/>
      <c r="Y156" s="182">
        <f t="shared" si="75"/>
        <v>1096040</v>
      </c>
      <c r="Z156" s="208">
        <f t="shared" si="76"/>
        <v>5263960</v>
      </c>
    </row>
    <row r="157" spans="1:27" s="136" customFormat="1" ht="15" customHeight="1" x14ac:dyDescent="0.25">
      <c r="A157" s="188" t="s">
        <v>186</v>
      </c>
      <c r="B157" s="180">
        <v>1</v>
      </c>
      <c r="C157" s="180">
        <v>9</v>
      </c>
      <c r="D157" s="181">
        <v>1590000</v>
      </c>
      <c r="E157" s="181"/>
      <c r="F157" s="182"/>
      <c r="G157" s="182"/>
      <c r="H157" s="182">
        <v>6360000</v>
      </c>
      <c r="I157" s="182"/>
      <c r="J157" s="182"/>
      <c r="K157" s="182"/>
      <c r="L157" s="182"/>
      <c r="M157" s="182"/>
      <c r="N157" s="189"/>
      <c r="O157" s="172">
        <f t="shared" si="74"/>
        <v>6360000</v>
      </c>
      <c r="P157" s="189"/>
      <c r="Q157" s="263"/>
      <c r="R157" s="263"/>
      <c r="S157" s="263"/>
      <c r="T157" s="263">
        <f>901000*44%</f>
        <v>396440</v>
      </c>
      <c r="U157" s="263">
        <f t="shared" si="77"/>
        <v>699600</v>
      </c>
      <c r="V157" s="182"/>
      <c r="W157" s="182"/>
      <c r="X157" s="182"/>
      <c r="Y157" s="182">
        <f t="shared" si="75"/>
        <v>1096040</v>
      </c>
      <c r="Z157" s="208">
        <f t="shared" si="76"/>
        <v>5263960</v>
      </c>
    </row>
    <row r="158" spans="1:27" s="136" customFormat="1" ht="15" customHeight="1" x14ac:dyDescent="0.25">
      <c r="A158" s="188" t="s">
        <v>187</v>
      </c>
      <c r="B158" s="180">
        <v>1</v>
      </c>
      <c r="C158" s="180">
        <v>9</v>
      </c>
      <c r="D158" s="181">
        <v>1590000</v>
      </c>
      <c r="E158" s="181"/>
      <c r="F158" s="182"/>
      <c r="G158" s="182"/>
      <c r="H158" s="182">
        <v>6360000</v>
      </c>
      <c r="I158" s="182"/>
      <c r="J158" s="182"/>
      <c r="K158" s="182"/>
      <c r="L158" s="182"/>
      <c r="M158" s="182"/>
      <c r="N158" s="189"/>
      <c r="O158" s="172">
        <f t="shared" si="74"/>
        <v>6360000</v>
      </c>
      <c r="P158" s="189"/>
      <c r="Q158" s="263"/>
      <c r="R158" s="263"/>
      <c r="S158" s="263"/>
      <c r="T158" s="263">
        <f>848000*44%</f>
        <v>373120</v>
      </c>
      <c r="U158" s="263">
        <f t="shared" si="77"/>
        <v>699600</v>
      </c>
      <c r="V158" s="182"/>
      <c r="W158" s="182"/>
      <c r="X158" s="182"/>
      <c r="Y158" s="182">
        <f t="shared" si="75"/>
        <v>1072720</v>
      </c>
      <c r="Z158" s="208">
        <f t="shared" si="76"/>
        <v>5287280</v>
      </c>
    </row>
    <row r="159" spans="1:27" s="136" customFormat="1" ht="15" customHeight="1" x14ac:dyDescent="0.25">
      <c r="A159" s="191" t="s">
        <v>222</v>
      </c>
      <c r="B159" s="180">
        <v>1</v>
      </c>
      <c r="C159" s="180">
        <v>9</v>
      </c>
      <c r="D159" s="181">
        <v>1590000</v>
      </c>
      <c r="E159" s="181"/>
      <c r="F159" s="182"/>
      <c r="G159" s="182"/>
      <c r="H159" s="182">
        <v>6360000</v>
      </c>
      <c r="I159" s="182"/>
      <c r="J159" s="182"/>
      <c r="K159" s="182"/>
      <c r="L159" s="182"/>
      <c r="M159" s="182"/>
      <c r="N159" s="189"/>
      <c r="O159" s="172">
        <f t="shared" si="74"/>
        <v>6360000</v>
      </c>
      <c r="P159" s="189"/>
      <c r="Q159" s="263"/>
      <c r="R159" s="263"/>
      <c r="S159" s="263"/>
      <c r="T159" s="263"/>
      <c r="U159" s="263">
        <f t="shared" si="77"/>
        <v>699600</v>
      </c>
      <c r="V159" s="182"/>
      <c r="W159" s="182"/>
      <c r="X159" s="182"/>
      <c r="Y159" s="182">
        <f t="shared" si="75"/>
        <v>699600</v>
      </c>
      <c r="Z159" s="208">
        <f t="shared" si="76"/>
        <v>5660400</v>
      </c>
    </row>
    <row r="160" spans="1:27" s="136" customFormat="1" ht="15" customHeight="1" x14ac:dyDescent="0.25">
      <c r="A160" s="191" t="s">
        <v>223</v>
      </c>
      <c r="B160" s="180">
        <v>1</v>
      </c>
      <c r="C160" s="180">
        <v>9</v>
      </c>
      <c r="D160" s="181">
        <v>1590000</v>
      </c>
      <c r="E160" s="181"/>
      <c r="F160" s="182"/>
      <c r="G160" s="182"/>
      <c r="H160" s="182">
        <v>6360000</v>
      </c>
      <c r="I160" s="182"/>
      <c r="J160" s="182"/>
      <c r="K160" s="182"/>
      <c r="L160" s="182"/>
      <c r="M160" s="182"/>
      <c r="N160" s="189"/>
      <c r="O160" s="172">
        <f t="shared" si="74"/>
        <v>6360000</v>
      </c>
      <c r="P160" s="189"/>
      <c r="Q160" s="263"/>
      <c r="R160" s="263"/>
      <c r="S160" s="263"/>
      <c r="T160" s="263"/>
      <c r="U160" s="263">
        <f>795000*44%</f>
        <v>349800</v>
      </c>
      <c r="V160" s="182"/>
      <c r="W160" s="182"/>
      <c r="X160" s="182"/>
      <c r="Y160" s="182">
        <f t="shared" si="75"/>
        <v>349800</v>
      </c>
      <c r="Z160" s="208">
        <f t="shared" si="76"/>
        <v>6010200</v>
      </c>
    </row>
    <row r="161" spans="1:28" s="136" customFormat="1" ht="15" customHeight="1" x14ac:dyDescent="0.25">
      <c r="A161" s="191" t="s">
        <v>224</v>
      </c>
      <c r="B161" s="180">
        <v>1</v>
      </c>
      <c r="C161" s="180">
        <v>9</v>
      </c>
      <c r="D161" s="181">
        <v>1590000</v>
      </c>
      <c r="E161" s="181"/>
      <c r="F161" s="182"/>
      <c r="G161" s="182"/>
      <c r="H161" s="182">
        <v>6360000</v>
      </c>
      <c r="I161" s="182"/>
      <c r="J161" s="182"/>
      <c r="K161" s="182"/>
      <c r="L161" s="182"/>
      <c r="M161" s="182"/>
      <c r="N161" s="189"/>
      <c r="O161" s="172">
        <f t="shared" si="74"/>
        <v>6360000</v>
      </c>
      <c r="P161" s="189"/>
      <c r="Q161" s="263"/>
      <c r="R161" s="263"/>
      <c r="S161" s="263"/>
      <c r="T161" s="263"/>
      <c r="U161" s="263">
        <f>212000*44%</f>
        <v>93280</v>
      </c>
      <c r="V161" s="182"/>
      <c r="W161" s="182"/>
      <c r="X161" s="182"/>
      <c r="Y161" s="182">
        <f t="shared" si="75"/>
        <v>93280</v>
      </c>
      <c r="Z161" s="208">
        <f t="shared" si="76"/>
        <v>6266720</v>
      </c>
    </row>
    <row r="162" spans="1:28" s="136" customFormat="1" ht="15" customHeight="1" x14ac:dyDescent="0.25">
      <c r="A162" s="210"/>
      <c r="B162" s="180"/>
      <c r="C162" s="180"/>
      <c r="D162" s="181"/>
      <c r="E162" s="181"/>
      <c r="F162" s="182"/>
      <c r="G162" s="182"/>
      <c r="H162" s="189"/>
      <c r="I162" s="182"/>
      <c r="J162" s="182"/>
      <c r="K162" s="182"/>
      <c r="L162" s="182"/>
      <c r="M162" s="182"/>
      <c r="N162" s="189"/>
      <c r="O162" s="189"/>
      <c r="P162" s="189"/>
      <c r="Q162" s="263"/>
      <c r="R162" s="263"/>
      <c r="S162" s="263"/>
      <c r="T162" s="263"/>
      <c r="U162" s="263"/>
      <c r="V162" s="182"/>
      <c r="W162" s="182"/>
      <c r="X162" s="182"/>
      <c r="Y162" s="189"/>
      <c r="Z162" s="204"/>
    </row>
    <row r="163" spans="1:28" ht="15" customHeight="1" x14ac:dyDescent="0.25">
      <c r="A163" s="160" t="s">
        <v>141</v>
      </c>
      <c r="B163" s="161"/>
      <c r="C163" s="161"/>
      <c r="D163" s="162">
        <v>0</v>
      </c>
      <c r="E163" s="162">
        <v>0</v>
      </c>
      <c r="F163" s="164">
        <v>0</v>
      </c>
      <c r="G163" s="164">
        <v>0</v>
      </c>
      <c r="H163" s="165">
        <f>H164</f>
        <v>0</v>
      </c>
      <c r="I163" s="164">
        <f>+I164</f>
        <v>0</v>
      </c>
      <c r="J163" s="164">
        <v>0</v>
      </c>
      <c r="K163" s="164">
        <v>0</v>
      </c>
      <c r="L163" s="164"/>
      <c r="M163" s="164">
        <v>0</v>
      </c>
      <c r="N163" s="165">
        <f>SUM(E163:M163)</f>
        <v>0</v>
      </c>
      <c r="O163" s="165">
        <f>O164</f>
        <v>0</v>
      </c>
      <c r="P163" s="165">
        <f>N163-O163</f>
        <v>0</v>
      </c>
      <c r="Q163" s="265">
        <f>Q164</f>
        <v>0</v>
      </c>
      <c r="R163" s="265">
        <f>+R164</f>
        <v>0</v>
      </c>
      <c r="S163" s="265">
        <f>+S164</f>
        <v>0</v>
      </c>
      <c r="T163" s="259">
        <f t="shared" ref="T163:X163" si="78">+T164</f>
        <v>0</v>
      </c>
      <c r="U163" s="259">
        <f t="shared" si="78"/>
        <v>0</v>
      </c>
      <c r="V163" s="164">
        <v>0</v>
      </c>
      <c r="W163" s="164">
        <f t="shared" si="78"/>
        <v>0</v>
      </c>
      <c r="X163" s="165">
        <f t="shared" si="78"/>
        <v>0</v>
      </c>
      <c r="Y163" s="165">
        <f>SUM(Y164)</f>
        <v>0</v>
      </c>
      <c r="Z163" s="209">
        <f>+Z164</f>
        <v>0</v>
      </c>
    </row>
    <row r="164" spans="1:28" ht="15" customHeight="1" x14ac:dyDescent="0.25">
      <c r="A164" s="167"/>
      <c r="B164" s="176"/>
      <c r="C164" s="176"/>
      <c r="D164" s="170">
        <v>0</v>
      </c>
      <c r="E164" s="170"/>
      <c r="F164" s="172"/>
      <c r="G164" s="172"/>
      <c r="H164" s="172">
        <v>0</v>
      </c>
      <c r="I164" s="172">
        <v>0</v>
      </c>
      <c r="J164" s="172"/>
      <c r="K164" s="172"/>
      <c r="L164" s="172"/>
      <c r="M164" s="172"/>
      <c r="N164" s="172"/>
      <c r="O164" s="172">
        <f>H164</f>
        <v>0</v>
      </c>
      <c r="P164" s="172"/>
      <c r="Q164" s="261"/>
      <c r="R164" s="261"/>
      <c r="S164" s="261"/>
      <c r="T164" s="261">
        <v>0</v>
      </c>
      <c r="U164" s="261">
        <v>0</v>
      </c>
      <c r="V164" s="171">
        <v>0</v>
      </c>
      <c r="W164" s="171">
        <v>0</v>
      </c>
      <c r="X164" s="171">
        <v>0</v>
      </c>
      <c r="Y164" s="171">
        <f>SUM(Q164:X164)</f>
        <v>0</v>
      </c>
      <c r="Z164" s="194"/>
      <c r="AA164" s="154"/>
    </row>
    <row r="165" spans="1:28" ht="15" customHeight="1" x14ac:dyDescent="0.25">
      <c r="A165" s="160" t="s">
        <v>142</v>
      </c>
      <c r="B165" s="161"/>
      <c r="C165" s="161"/>
      <c r="D165" s="162">
        <v>0</v>
      </c>
      <c r="E165" s="162">
        <v>0</v>
      </c>
      <c r="F165" s="164">
        <v>0</v>
      </c>
      <c r="G165" s="164">
        <v>0</v>
      </c>
      <c r="H165" s="165">
        <f>SUM(H166:H167)</f>
        <v>0</v>
      </c>
      <c r="I165" s="164">
        <f>+I166</f>
        <v>0</v>
      </c>
      <c r="J165" s="164">
        <v>0</v>
      </c>
      <c r="K165" s="164">
        <v>0</v>
      </c>
      <c r="L165" s="164"/>
      <c r="M165" s="164">
        <v>0</v>
      </c>
      <c r="N165" s="165">
        <f>SUM(E165:M165)</f>
        <v>0</v>
      </c>
      <c r="O165" s="165">
        <f>SUM(O166:O167)</f>
        <v>0</v>
      </c>
      <c r="P165" s="165">
        <f>N165-O165</f>
        <v>0</v>
      </c>
      <c r="Q165" s="265">
        <f>SUM(Q166:Q167)</f>
        <v>0</v>
      </c>
      <c r="R165" s="265">
        <f>+R166+R167</f>
        <v>0</v>
      </c>
      <c r="S165" s="265">
        <f>+S166+S167</f>
        <v>0</v>
      </c>
      <c r="T165" s="265">
        <f t="shared" ref="T165:X165" si="79">+T166+T167</f>
        <v>0</v>
      </c>
      <c r="U165" s="265">
        <f t="shared" ref="U165" si="80">+U166+U167</f>
        <v>0</v>
      </c>
      <c r="V165" s="165">
        <f>+V166+V167</f>
        <v>0</v>
      </c>
      <c r="W165" s="164">
        <f t="shared" si="79"/>
        <v>0</v>
      </c>
      <c r="X165" s="165">
        <f t="shared" si="79"/>
        <v>0</v>
      </c>
      <c r="Y165" s="164">
        <f>SUM(Y166)</f>
        <v>0</v>
      </c>
      <c r="Z165" s="209">
        <f>+Z166</f>
        <v>0</v>
      </c>
    </row>
    <row r="166" spans="1:28" ht="15" customHeight="1" x14ac:dyDescent="0.25">
      <c r="A166" s="167"/>
      <c r="B166" s="176"/>
      <c r="C166" s="176"/>
      <c r="D166" s="170">
        <v>0</v>
      </c>
      <c r="E166" s="170"/>
      <c r="F166" s="172"/>
      <c r="G166" s="172"/>
      <c r="H166" s="172">
        <v>0</v>
      </c>
      <c r="I166" s="172">
        <v>0</v>
      </c>
      <c r="J166" s="172"/>
      <c r="K166" s="172"/>
      <c r="L166" s="172"/>
      <c r="M166" s="172"/>
      <c r="N166" s="172"/>
      <c r="O166" s="172">
        <f>H166</f>
        <v>0</v>
      </c>
      <c r="P166" s="172"/>
      <c r="Q166" s="261"/>
      <c r="R166" s="261"/>
      <c r="S166" s="261"/>
      <c r="T166" s="261"/>
      <c r="U166" s="261"/>
      <c r="V166" s="171">
        <v>0</v>
      </c>
      <c r="W166" s="171">
        <v>0</v>
      </c>
      <c r="X166" s="171">
        <v>0</v>
      </c>
      <c r="Y166" s="171">
        <f>SUM(Q166:X166)</f>
        <v>0</v>
      </c>
      <c r="Z166" s="194"/>
    </row>
    <row r="167" spans="1:28" ht="15" customHeight="1" x14ac:dyDescent="0.25">
      <c r="A167" s="167"/>
      <c r="B167" s="176"/>
      <c r="C167" s="176"/>
      <c r="D167" s="170">
        <v>0</v>
      </c>
      <c r="E167" s="170"/>
      <c r="F167" s="172"/>
      <c r="G167" s="172"/>
      <c r="H167" s="172">
        <v>0</v>
      </c>
      <c r="I167" s="172"/>
      <c r="J167" s="172"/>
      <c r="K167" s="172"/>
      <c r="L167" s="172"/>
      <c r="M167" s="172"/>
      <c r="N167" s="172"/>
      <c r="O167" s="172">
        <f>H167</f>
        <v>0</v>
      </c>
      <c r="P167" s="172"/>
      <c r="Q167" s="261"/>
      <c r="R167" s="261"/>
      <c r="S167" s="261"/>
      <c r="T167" s="261"/>
      <c r="U167" s="261"/>
      <c r="V167" s="171">
        <v>0</v>
      </c>
      <c r="W167" s="171">
        <v>0</v>
      </c>
      <c r="X167" s="171">
        <v>0</v>
      </c>
      <c r="Y167" s="171"/>
      <c r="Z167" s="194"/>
    </row>
    <row r="168" spans="1:28" s="211" customFormat="1" x14ac:dyDescent="0.25">
      <c r="A168" s="155" t="s">
        <v>100</v>
      </c>
      <c r="B168" s="156"/>
      <c r="C168" s="156"/>
      <c r="D168" s="157"/>
      <c r="E168" s="158"/>
      <c r="F168" s="158"/>
      <c r="G168" s="158">
        <f>+G29+G31+G36+G41+G74+G163+G165+G147</f>
        <v>0</v>
      </c>
      <c r="H168" s="158">
        <f>+H141+H147+H165+H163+H138+H153</f>
        <v>140695000</v>
      </c>
      <c r="I168" s="158">
        <f>+I163+I165</f>
        <v>0</v>
      </c>
      <c r="J168" s="158">
        <f>+J29+J31+J36+J41+J74+J163+J165+J147</f>
        <v>0</v>
      </c>
      <c r="K168" s="158">
        <f>+K29+K31+K36+K41+K74+K163+K165+K147</f>
        <v>0</v>
      </c>
      <c r="L168" s="158">
        <f>+L29+L31+L36+L41+D22+L163+L165+L147</f>
        <v>0</v>
      </c>
      <c r="M168" s="158">
        <f>+M29+M31+M36+M41+M74+M163+M165+M147</f>
        <v>0</v>
      </c>
      <c r="N168" s="158">
        <f>+N141+N147+N165+N163+N138+N153</f>
        <v>140695000</v>
      </c>
      <c r="O168" s="158">
        <f>+O141+O147+O165+O163+O139+O153</f>
        <v>140695000</v>
      </c>
      <c r="P168" s="158">
        <f>+P153+P147+P141+P138+P163+P165</f>
        <v>0</v>
      </c>
      <c r="Q168" s="258">
        <f t="shared" ref="Q168:X168" si="81">+Q141+Q147+Q165+Q163+Q138+Q153</f>
        <v>1716466.75</v>
      </c>
      <c r="R168" s="258">
        <f t="shared" si="81"/>
        <v>2721500</v>
      </c>
      <c r="S168" s="258">
        <f t="shared" si="81"/>
        <v>2721500</v>
      </c>
      <c r="T168" s="258">
        <f t="shared" si="81"/>
        <v>7822900</v>
      </c>
      <c r="U168" s="258">
        <f t="shared" si="81"/>
        <v>12952170</v>
      </c>
      <c r="V168" s="158">
        <f t="shared" si="81"/>
        <v>0</v>
      </c>
      <c r="W168" s="158">
        <f t="shared" si="81"/>
        <v>0</v>
      </c>
      <c r="X168" s="158">
        <f t="shared" si="81"/>
        <v>0</v>
      </c>
      <c r="Y168" s="158">
        <f>+Y141+Y147+Y153+Y165+Y163+Y138</f>
        <v>27934536.75</v>
      </c>
      <c r="Z168" s="195">
        <f>+Z165+Z163+Z153+Z147+Z141+Z138</f>
        <v>112760463.25</v>
      </c>
    </row>
    <row r="169" spans="1:28" x14ac:dyDescent="0.25">
      <c r="A169" s="155" t="s">
        <v>110</v>
      </c>
      <c r="B169" s="156"/>
      <c r="C169" s="156"/>
      <c r="D169" s="157"/>
      <c r="E169" s="158">
        <f>E139+E137</f>
        <v>0</v>
      </c>
      <c r="F169" s="158">
        <f>F139+F137</f>
        <v>0</v>
      </c>
      <c r="G169" s="158"/>
      <c r="H169" s="158">
        <f>H168+H137</f>
        <v>317095000</v>
      </c>
      <c r="I169" s="158"/>
      <c r="J169" s="158"/>
      <c r="K169" s="158"/>
      <c r="L169" s="158"/>
      <c r="M169" s="158" t="e">
        <f>+M105+#REF!+#REF!+M111+M122+M167+M142+M136</f>
        <v>#REF!</v>
      </c>
      <c r="N169" s="158">
        <f t="shared" ref="N169:Y169" si="82">N168+N137</f>
        <v>317095000</v>
      </c>
      <c r="O169" s="158">
        <f t="shared" si="82"/>
        <v>166269400</v>
      </c>
      <c r="P169" s="158">
        <f t="shared" si="82"/>
        <v>150825600</v>
      </c>
      <c r="Q169" s="258">
        <f t="shared" si="82"/>
        <v>2368066.75</v>
      </c>
      <c r="R169" s="258">
        <f t="shared" si="82"/>
        <v>4015700</v>
      </c>
      <c r="S169" s="258">
        <f t="shared" si="82"/>
        <v>5149700</v>
      </c>
      <c r="T169" s="258">
        <f t="shared" si="82"/>
        <v>15066100</v>
      </c>
      <c r="U169" s="258">
        <f t="shared" si="82"/>
        <v>26909370</v>
      </c>
      <c r="V169" s="158">
        <f t="shared" si="82"/>
        <v>0</v>
      </c>
      <c r="W169" s="158">
        <f t="shared" si="82"/>
        <v>0</v>
      </c>
      <c r="X169" s="158">
        <f t="shared" si="82"/>
        <v>0</v>
      </c>
      <c r="Y169" s="158">
        <f t="shared" si="82"/>
        <v>53508936.75</v>
      </c>
      <c r="Z169" s="195">
        <f>O169-Y169</f>
        <v>112760463.25</v>
      </c>
    </row>
    <row r="170" spans="1:28" x14ac:dyDescent="0.25">
      <c r="A170" s="105" t="s">
        <v>82</v>
      </c>
      <c r="B170" s="18" t="s">
        <v>46</v>
      </c>
      <c r="C170" s="18">
        <v>1</v>
      </c>
      <c r="D170" s="196"/>
      <c r="E170" s="199"/>
      <c r="F170" s="197"/>
      <c r="G170" s="198"/>
      <c r="H170" s="197">
        <v>126237500</v>
      </c>
      <c r="I170" s="199"/>
      <c r="J170" s="172"/>
      <c r="K170" s="172"/>
      <c r="L170" s="172"/>
      <c r="M170" s="172"/>
      <c r="N170" s="172">
        <f t="shared" ref="N170:N179" si="83">SUM(E170:M170)</f>
        <v>126237500</v>
      </c>
      <c r="O170" s="172">
        <v>0</v>
      </c>
      <c r="P170" s="172">
        <f>N170-O170</f>
        <v>126237500</v>
      </c>
      <c r="Q170" s="261"/>
      <c r="R170" s="261"/>
      <c r="S170" s="261"/>
      <c r="T170" s="261"/>
      <c r="U170" s="261"/>
      <c r="V170" s="171"/>
      <c r="W170" s="171"/>
      <c r="X170" s="171">
        <v>0</v>
      </c>
      <c r="Y170" s="182">
        <f>SUM(Q170:X170)</f>
        <v>0</v>
      </c>
      <c r="Z170" s="208">
        <f>O170-Y170</f>
        <v>0</v>
      </c>
    </row>
    <row r="171" spans="1:28" x14ac:dyDescent="0.25">
      <c r="A171" s="103" t="s">
        <v>85</v>
      </c>
      <c r="B171" s="18" t="s">
        <v>46</v>
      </c>
      <c r="C171" s="18">
        <v>1</v>
      </c>
      <c r="D171" s="196"/>
      <c r="E171" s="197"/>
      <c r="F171" s="197"/>
      <c r="G171" s="198"/>
      <c r="H171" s="197">
        <v>9000000</v>
      </c>
      <c r="I171" s="197"/>
      <c r="J171" s="172"/>
      <c r="K171" s="172"/>
      <c r="L171" s="172"/>
      <c r="M171" s="172"/>
      <c r="N171" s="172">
        <f t="shared" si="83"/>
        <v>9000000</v>
      </c>
      <c r="O171" s="172">
        <v>0</v>
      </c>
      <c r="P171" s="172">
        <f>N171-O171</f>
        <v>9000000</v>
      </c>
      <c r="Q171" s="261"/>
      <c r="R171" s="261"/>
      <c r="S171" s="261"/>
      <c r="T171" s="261"/>
      <c r="U171" s="261"/>
      <c r="V171" s="171"/>
      <c r="W171" s="171"/>
      <c r="X171" s="171"/>
      <c r="Y171" s="182">
        <f>SUM(Q171:X171)</f>
        <v>0</v>
      </c>
      <c r="Z171" s="208">
        <f t="shared" ref="Z171:Z179" si="84">O171-Y171</f>
        <v>0</v>
      </c>
    </row>
    <row r="172" spans="1:28" ht="14.25" customHeight="1" x14ac:dyDescent="0.25">
      <c r="A172" s="106" t="s">
        <v>204</v>
      </c>
      <c r="B172" s="18" t="s">
        <v>46</v>
      </c>
      <c r="C172" s="18">
        <v>1</v>
      </c>
      <c r="D172" s="196"/>
      <c r="E172" s="197"/>
      <c r="F172" s="197"/>
      <c r="G172" s="198"/>
      <c r="H172" s="197">
        <v>16600000</v>
      </c>
      <c r="I172" s="197"/>
      <c r="J172" s="172"/>
      <c r="K172" s="172"/>
      <c r="L172" s="172"/>
      <c r="M172" s="172"/>
      <c r="N172" s="172">
        <f t="shared" si="83"/>
        <v>16600000</v>
      </c>
      <c r="O172" s="172"/>
      <c r="P172" s="172">
        <f>+N172-O173</f>
        <v>0</v>
      </c>
      <c r="Q172" s="261"/>
      <c r="R172" s="261"/>
      <c r="S172" s="261"/>
      <c r="T172" s="261"/>
      <c r="U172" s="261"/>
      <c r="V172" s="171"/>
      <c r="W172" s="171">
        <v>0</v>
      </c>
      <c r="X172" s="171">
        <v>0</v>
      </c>
      <c r="Y172" s="182"/>
      <c r="Z172" s="208">
        <f t="shared" si="84"/>
        <v>0</v>
      </c>
    </row>
    <row r="173" spans="1:28" ht="15" customHeight="1" x14ac:dyDescent="0.25">
      <c r="A173" s="107" t="s">
        <v>205</v>
      </c>
      <c r="B173" s="18"/>
      <c r="C173" s="18"/>
      <c r="D173" s="196"/>
      <c r="E173" s="197"/>
      <c r="F173" s="197"/>
      <c r="G173" s="198"/>
      <c r="H173" s="197"/>
      <c r="I173" s="197"/>
      <c r="J173" s="172"/>
      <c r="K173" s="172"/>
      <c r="L173" s="172"/>
      <c r="M173" s="172"/>
      <c r="N173" s="172">
        <v>16600000</v>
      </c>
      <c r="O173" s="172">
        <v>16600000</v>
      </c>
      <c r="P173" s="172"/>
      <c r="Q173" s="261"/>
      <c r="R173" s="261"/>
      <c r="S173" s="261"/>
      <c r="T173" s="261">
        <f>218820*28%</f>
        <v>61269.600000000006</v>
      </c>
      <c r="U173" s="261">
        <f>(1149002)*28%</f>
        <v>321720.56000000006</v>
      </c>
      <c r="V173" s="171"/>
      <c r="W173" s="171"/>
      <c r="X173" s="171"/>
      <c r="Y173" s="182">
        <f t="shared" ref="Y173:Y179" si="85">SUM(Q173:X173)</f>
        <v>382990.16000000003</v>
      </c>
      <c r="Z173" s="208">
        <f t="shared" si="84"/>
        <v>16217009.84</v>
      </c>
      <c r="AA173" s="154"/>
      <c r="AB173" s="154"/>
    </row>
    <row r="174" spans="1:28" x14ac:dyDescent="0.25">
      <c r="A174" s="104" t="s">
        <v>134</v>
      </c>
      <c r="B174" s="18" t="s">
        <v>135</v>
      </c>
      <c r="C174" s="18">
        <v>1</v>
      </c>
      <c r="D174" s="196">
        <v>178589768</v>
      </c>
      <c r="E174" s="197"/>
      <c r="F174" s="197"/>
      <c r="G174" s="198"/>
      <c r="H174" s="197"/>
      <c r="I174" s="197">
        <f>+D174</f>
        <v>178589768</v>
      </c>
      <c r="J174" s="172"/>
      <c r="K174" s="172"/>
      <c r="L174" s="172"/>
      <c r="M174" s="172"/>
      <c r="N174" s="172">
        <f t="shared" ref="N174" si="86">SUM(E174:M174)</f>
        <v>178589768</v>
      </c>
      <c r="O174" s="172">
        <v>178589768</v>
      </c>
      <c r="P174" s="172">
        <f t="shared" ref="P174" si="87">N174-O174</f>
        <v>0</v>
      </c>
      <c r="Q174" s="261">
        <v>178589768</v>
      </c>
      <c r="R174" s="261"/>
      <c r="S174" s="261"/>
      <c r="T174" s="261"/>
      <c r="U174" s="261"/>
      <c r="V174" s="171"/>
      <c r="W174" s="171"/>
      <c r="X174" s="171"/>
      <c r="Y174" s="182">
        <f t="shared" si="85"/>
        <v>178589768</v>
      </c>
      <c r="Z174" s="208">
        <f t="shared" si="84"/>
        <v>0</v>
      </c>
    </row>
    <row r="175" spans="1:28" x14ac:dyDescent="0.25">
      <c r="A175" s="103" t="s">
        <v>88</v>
      </c>
      <c r="B175" s="18" t="s">
        <v>46</v>
      </c>
      <c r="C175" s="18">
        <v>1</v>
      </c>
      <c r="D175" s="196"/>
      <c r="E175" s="197"/>
      <c r="F175" s="197"/>
      <c r="G175" s="198"/>
      <c r="H175" s="199"/>
      <c r="I175" s="197">
        <v>512896545</v>
      </c>
      <c r="J175" s="172"/>
      <c r="K175" s="172"/>
      <c r="L175" s="172"/>
      <c r="M175" s="172"/>
      <c r="N175" s="172">
        <f t="shared" si="83"/>
        <v>512896545</v>
      </c>
      <c r="O175" s="182"/>
      <c r="P175" s="172">
        <f>N175-O175</f>
        <v>512896545</v>
      </c>
      <c r="Q175" s="261">
        <v>0</v>
      </c>
      <c r="R175" s="261">
        <v>0</v>
      </c>
      <c r="S175" s="261"/>
      <c r="T175" s="261"/>
      <c r="U175" s="261"/>
      <c r="V175" s="171">
        <v>0</v>
      </c>
      <c r="W175" s="171">
        <v>0</v>
      </c>
      <c r="X175" s="171">
        <v>0</v>
      </c>
      <c r="Y175" s="182">
        <f t="shared" si="85"/>
        <v>0</v>
      </c>
      <c r="Z175" s="208">
        <f t="shared" si="84"/>
        <v>0</v>
      </c>
    </row>
    <row r="176" spans="1:28" x14ac:dyDescent="0.25">
      <c r="A176" s="103" t="s">
        <v>131</v>
      </c>
      <c r="B176" s="98" t="s">
        <v>46</v>
      </c>
      <c r="C176" s="98">
        <v>1</v>
      </c>
      <c r="D176" s="212">
        <v>25000000</v>
      </c>
      <c r="E176" s="213">
        <v>0</v>
      </c>
      <c r="F176" s="213"/>
      <c r="G176" s="214"/>
      <c r="H176" s="213">
        <v>8000000</v>
      </c>
      <c r="I176" s="197"/>
      <c r="J176" s="172"/>
      <c r="K176" s="172"/>
      <c r="L176" s="172"/>
      <c r="M176" s="172"/>
      <c r="N176" s="172">
        <f>SUM(E176:M176)</f>
        <v>8000000</v>
      </c>
      <c r="O176" s="172">
        <v>0</v>
      </c>
      <c r="P176" s="172">
        <f>N176-O176</f>
        <v>8000000</v>
      </c>
      <c r="Q176" s="261"/>
      <c r="R176" s="261"/>
      <c r="S176" s="261"/>
      <c r="T176" s="261"/>
      <c r="U176" s="261"/>
      <c r="V176" s="171"/>
      <c r="W176" s="171"/>
      <c r="X176" s="171"/>
      <c r="Y176" s="182">
        <f t="shared" si="85"/>
        <v>0</v>
      </c>
      <c r="Z176" s="208">
        <f t="shared" si="84"/>
        <v>0</v>
      </c>
    </row>
    <row r="177" spans="1:28" x14ac:dyDescent="0.25">
      <c r="A177" s="103" t="s">
        <v>132</v>
      </c>
      <c r="B177" s="98" t="s">
        <v>46</v>
      </c>
      <c r="C177" s="98">
        <v>1</v>
      </c>
      <c r="D177" s="212">
        <v>42000000</v>
      </c>
      <c r="E177" s="213">
        <v>0</v>
      </c>
      <c r="F177" s="213"/>
      <c r="G177" s="214"/>
      <c r="H177" s="213">
        <v>21000000</v>
      </c>
      <c r="I177" s="197"/>
      <c r="J177" s="172"/>
      <c r="K177" s="172"/>
      <c r="L177" s="172"/>
      <c r="M177" s="172"/>
      <c r="N177" s="172">
        <f>SUM(E177:M177)</f>
        <v>21000000</v>
      </c>
      <c r="O177" s="172">
        <v>0</v>
      </c>
      <c r="P177" s="172">
        <f>N177-O177</f>
        <v>21000000</v>
      </c>
      <c r="Q177" s="261"/>
      <c r="R177" s="261"/>
      <c r="S177" s="261"/>
      <c r="T177" s="261"/>
      <c r="U177" s="261"/>
      <c r="V177" s="171"/>
      <c r="W177" s="171"/>
      <c r="X177" s="171"/>
      <c r="Y177" s="182">
        <f t="shared" si="85"/>
        <v>0</v>
      </c>
      <c r="Z177" s="208">
        <f t="shared" si="84"/>
        <v>0</v>
      </c>
    </row>
    <row r="178" spans="1:28" x14ac:dyDescent="0.25">
      <c r="A178" s="103" t="s">
        <v>89</v>
      </c>
      <c r="B178" s="18" t="s">
        <v>46</v>
      </c>
      <c r="C178" s="18">
        <v>1</v>
      </c>
      <c r="D178" s="196"/>
      <c r="E178" s="197"/>
      <c r="F178" s="197"/>
      <c r="G178" s="198"/>
      <c r="H178" s="201">
        <v>1500000</v>
      </c>
      <c r="I178" s="197"/>
      <c r="J178" s="172"/>
      <c r="K178" s="172"/>
      <c r="L178" s="172"/>
      <c r="M178" s="172"/>
      <c r="N178" s="172">
        <f t="shared" si="83"/>
        <v>1500000</v>
      </c>
      <c r="O178" s="172">
        <v>0</v>
      </c>
      <c r="P178" s="172">
        <f t="shared" ref="P178:P185" si="88">N178-O178</f>
        <v>1500000</v>
      </c>
      <c r="Q178" s="261"/>
      <c r="R178" s="261"/>
      <c r="S178" s="261"/>
      <c r="T178" s="261"/>
      <c r="U178" s="261"/>
      <c r="V178" s="171"/>
      <c r="W178" s="171"/>
      <c r="X178" s="171"/>
      <c r="Y178" s="182">
        <f t="shared" si="85"/>
        <v>0</v>
      </c>
      <c r="Z178" s="208">
        <f t="shared" si="84"/>
        <v>0</v>
      </c>
    </row>
    <row r="179" spans="1:28" x14ac:dyDescent="0.25">
      <c r="A179" s="99" t="s">
        <v>90</v>
      </c>
      <c r="B179" s="18" t="s">
        <v>46</v>
      </c>
      <c r="C179" s="18">
        <v>1</v>
      </c>
      <c r="D179" s="196"/>
      <c r="E179" s="197">
        <v>0</v>
      </c>
      <c r="F179" s="197"/>
      <c r="G179" s="198"/>
      <c r="H179" s="199">
        <v>2000000</v>
      </c>
      <c r="I179" s="197"/>
      <c r="J179" s="172"/>
      <c r="K179" s="172"/>
      <c r="L179" s="172"/>
      <c r="M179" s="172"/>
      <c r="N179" s="172">
        <f t="shared" si="83"/>
        <v>2000000</v>
      </c>
      <c r="O179" s="172">
        <v>0</v>
      </c>
      <c r="P179" s="172">
        <f t="shared" si="88"/>
        <v>2000000</v>
      </c>
      <c r="Q179" s="261"/>
      <c r="R179" s="261"/>
      <c r="S179" s="261"/>
      <c r="T179" s="261"/>
      <c r="U179" s="261"/>
      <c r="V179" s="171"/>
      <c r="W179" s="171"/>
      <c r="X179" s="171"/>
      <c r="Y179" s="182">
        <f t="shared" si="85"/>
        <v>0</v>
      </c>
      <c r="Z179" s="208">
        <f t="shared" si="84"/>
        <v>0</v>
      </c>
    </row>
    <row r="180" spans="1:28" x14ac:dyDescent="0.25">
      <c r="A180" s="155" t="s">
        <v>36</v>
      </c>
      <c r="B180" s="202"/>
      <c r="C180" s="202"/>
      <c r="D180" s="203"/>
      <c r="E180" s="158">
        <f>SUM(E170:E179)</f>
        <v>0</v>
      </c>
      <c r="F180" s="158">
        <f>SUM(F170:F179)</f>
        <v>0</v>
      </c>
      <c r="G180" s="158"/>
      <c r="H180" s="158">
        <f>+H170+H171+H172+H174+H175+H176+H177+H178+H179</f>
        <v>184337500</v>
      </c>
      <c r="I180" s="158">
        <f>SUM(I170:I179)</f>
        <v>691486313</v>
      </c>
      <c r="J180" s="158"/>
      <c r="K180" s="158">
        <f>SUM(K170:K179)</f>
        <v>0</v>
      </c>
      <c r="L180" s="158">
        <f>SUM(L170:L179)</f>
        <v>0</v>
      </c>
      <c r="M180" s="158" t="e">
        <f>+#REF!</f>
        <v>#REF!</v>
      </c>
      <c r="N180" s="158">
        <f>+N170+N171+N172+N174+N175+N176+N177+N178+N179</f>
        <v>875823813</v>
      </c>
      <c r="O180" s="158">
        <f>+O170+O171+O173+O174+O175+O176+O177+O178+O179</f>
        <v>195189768</v>
      </c>
      <c r="P180" s="158">
        <f>N180-O180</f>
        <v>680634045</v>
      </c>
      <c r="Q180" s="258">
        <f>SUM(Q170:Q179)</f>
        <v>178589768</v>
      </c>
      <c r="R180" s="258">
        <f t="shared" ref="R180:X180" si="89">SUM(R170:R179)</f>
        <v>0</v>
      </c>
      <c r="S180" s="258">
        <f t="shared" si="89"/>
        <v>0</v>
      </c>
      <c r="T180" s="258">
        <f t="shared" si="89"/>
        <v>61269.600000000006</v>
      </c>
      <c r="U180" s="258">
        <f t="shared" si="89"/>
        <v>321720.56000000006</v>
      </c>
      <c r="V180" s="158">
        <f t="shared" si="89"/>
        <v>0</v>
      </c>
      <c r="W180" s="158">
        <f t="shared" si="89"/>
        <v>0</v>
      </c>
      <c r="X180" s="158">
        <f t="shared" si="89"/>
        <v>0</v>
      </c>
      <c r="Y180" s="158">
        <f>SUM(Y170:Y179)</f>
        <v>178972758.16</v>
      </c>
      <c r="Z180" s="158">
        <f>SUM(Z170:Z179)</f>
        <v>16217009.84</v>
      </c>
    </row>
    <row r="181" spans="1:28" x14ac:dyDescent="0.25">
      <c r="A181" s="191" t="s">
        <v>43</v>
      </c>
      <c r="B181" s="180" t="s">
        <v>46</v>
      </c>
      <c r="C181" s="180">
        <v>12</v>
      </c>
      <c r="D181" s="181">
        <v>8750000</v>
      </c>
      <c r="E181" s="182">
        <v>0</v>
      </c>
      <c r="F181" s="182">
        <v>0</v>
      </c>
      <c r="G181" s="182">
        <v>0</v>
      </c>
      <c r="H181" s="182">
        <v>0</v>
      </c>
      <c r="I181" s="182">
        <v>105000000</v>
      </c>
      <c r="J181" s="182">
        <v>0</v>
      </c>
      <c r="K181" s="182">
        <v>0</v>
      </c>
      <c r="L181" s="182">
        <v>0</v>
      </c>
      <c r="M181" s="182">
        <v>0</v>
      </c>
      <c r="N181" s="182">
        <f>SUM(E181:M181)</f>
        <v>105000000</v>
      </c>
      <c r="O181" s="182">
        <f>+Y181</f>
        <v>7680000</v>
      </c>
      <c r="P181" s="182">
        <f t="shared" si="88"/>
        <v>97320000</v>
      </c>
      <c r="Q181" s="263">
        <v>0</v>
      </c>
      <c r="R181" s="263">
        <v>720000</v>
      </c>
      <c r="S181" s="263">
        <v>1080000</v>
      </c>
      <c r="T181" s="263">
        <f>270000+180000+360000+720000+360000+270000+360000</f>
        <v>2520000</v>
      </c>
      <c r="U181" s="263">
        <f>360000*4+400000*3+720000</f>
        <v>3360000</v>
      </c>
      <c r="V181" s="182">
        <f t="shared" ref="V181:X181" si="90">+V182</f>
        <v>0</v>
      </c>
      <c r="W181" s="182">
        <f t="shared" si="90"/>
        <v>0</v>
      </c>
      <c r="X181" s="182">
        <f t="shared" si="90"/>
        <v>0</v>
      </c>
      <c r="Y181" s="182">
        <f>SUM(Q181:X181)</f>
        <v>7680000</v>
      </c>
      <c r="Z181" s="208">
        <f>O181-Y181</f>
        <v>0</v>
      </c>
    </row>
    <row r="182" spans="1:28" x14ac:dyDescent="0.25">
      <c r="A182" s="191" t="s">
        <v>45</v>
      </c>
      <c r="B182" s="180" t="s">
        <v>154</v>
      </c>
      <c r="C182" s="180">
        <v>1</v>
      </c>
      <c r="D182" s="181">
        <v>150000000</v>
      </c>
      <c r="E182" s="182"/>
      <c r="F182" s="182" t="s">
        <v>29</v>
      </c>
      <c r="G182" s="182"/>
      <c r="H182" s="182">
        <v>2000000</v>
      </c>
      <c r="I182" s="182"/>
      <c r="J182" s="182"/>
      <c r="K182" s="182"/>
      <c r="L182" s="182"/>
      <c r="M182" s="182"/>
      <c r="N182" s="182">
        <f>SUM(E182:M182)</f>
        <v>2000000</v>
      </c>
      <c r="O182" s="182"/>
      <c r="P182" s="182">
        <f t="shared" si="88"/>
        <v>2000000</v>
      </c>
      <c r="Q182" s="263">
        <v>0</v>
      </c>
      <c r="R182" s="263">
        <v>0</v>
      </c>
      <c r="S182" s="263">
        <v>0</v>
      </c>
      <c r="T182" s="263">
        <v>0</v>
      </c>
      <c r="U182" s="263">
        <v>0</v>
      </c>
      <c r="V182" s="182">
        <v>0</v>
      </c>
      <c r="W182" s="182">
        <v>0</v>
      </c>
      <c r="X182" s="182">
        <v>0</v>
      </c>
      <c r="Y182" s="182">
        <f>SUM(Q182:X182)</f>
        <v>0</v>
      </c>
      <c r="Z182" s="208">
        <f>O182-Y182</f>
        <v>0</v>
      </c>
    </row>
    <row r="183" spans="1:28" x14ac:dyDescent="0.25">
      <c r="A183" s="191" t="s">
        <v>44</v>
      </c>
      <c r="B183" s="180" t="s">
        <v>46</v>
      </c>
      <c r="C183" s="180">
        <v>1</v>
      </c>
      <c r="D183" s="181">
        <v>81837351</v>
      </c>
      <c r="E183" s="182">
        <v>0</v>
      </c>
      <c r="F183" s="182">
        <v>0</v>
      </c>
      <c r="G183" s="182">
        <v>0</v>
      </c>
      <c r="H183" s="182">
        <v>45313455</v>
      </c>
      <c r="I183" s="182"/>
      <c r="J183" s="182">
        <v>0</v>
      </c>
      <c r="K183" s="182"/>
      <c r="L183" s="182">
        <v>0</v>
      </c>
      <c r="M183" s="182">
        <v>0</v>
      </c>
      <c r="N183" s="182">
        <f>SUM(E183:M183)</f>
        <v>45313455</v>
      </c>
      <c r="O183" s="182"/>
      <c r="P183" s="182">
        <f>+N183-O184</f>
        <v>0</v>
      </c>
      <c r="Q183" s="263">
        <v>0</v>
      </c>
      <c r="R183" s="263">
        <v>0</v>
      </c>
      <c r="S183" s="263"/>
      <c r="T183" s="263"/>
      <c r="U183" s="263"/>
      <c r="V183" s="182">
        <v>0</v>
      </c>
      <c r="W183" s="182">
        <v>0</v>
      </c>
      <c r="X183" s="182">
        <v>0</v>
      </c>
      <c r="Y183" s="182">
        <f>SUM(Q183:X183)</f>
        <v>0</v>
      </c>
      <c r="Z183" s="208"/>
    </row>
    <row r="184" spans="1:28" x14ac:dyDescent="0.25">
      <c r="A184" s="94" t="s">
        <v>197</v>
      </c>
      <c r="B184" s="180"/>
      <c r="C184" s="180"/>
      <c r="D184" s="181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>
        <v>45313455</v>
      </c>
      <c r="P184" s="182"/>
      <c r="Q184" s="263"/>
      <c r="R184" s="263"/>
      <c r="S184" s="261">
        <f>+(12368738*6%)</f>
        <v>742124.28</v>
      </c>
      <c r="T184" s="261">
        <f>+(64193115*6%)</f>
        <v>3851586.9</v>
      </c>
      <c r="U184" s="261">
        <f>+(146115757*6%)</f>
        <v>8766945.4199999999</v>
      </c>
      <c r="V184" s="182"/>
      <c r="W184" s="182"/>
      <c r="X184" s="182"/>
      <c r="Y184" s="182">
        <f>SUM(Q184:X184)</f>
        <v>13360656.6</v>
      </c>
      <c r="Z184" s="208">
        <f>O184-Y184</f>
        <v>31952798.399999999</v>
      </c>
    </row>
    <row r="185" spans="1:28" x14ac:dyDescent="0.25">
      <c r="A185" s="191" t="s">
        <v>138</v>
      </c>
      <c r="B185" s="180" t="s">
        <v>46</v>
      </c>
      <c r="C185" s="180">
        <v>12</v>
      </c>
      <c r="D185" s="181">
        <v>3750000</v>
      </c>
      <c r="E185" s="182"/>
      <c r="F185" s="182"/>
      <c r="G185" s="182"/>
      <c r="H185" s="182"/>
      <c r="I185" s="182">
        <v>45000000</v>
      </c>
      <c r="J185" s="182"/>
      <c r="K185" s="182"/>
      <c r="L185" s="182"/>
      <c r="M185" s="182"/>
      <c r="N185" s="182">
        <f>SUM(E185:M185)</f>
        <v>45000000</v>
      </c>
      <c r="O185" s="182"/>
      <c r="P185" s="182">
        <f t="shared" si="88"/>
        <v>45000000</v>
      </c>
      <c r="Q185" s="263">
        <v>0</v>
      </c>
      <c r="R185" s="263">
        <v>0</v>
      </c>
      <c r="S185" s="263">
        <v>0</v>
      </c>
      <c r="T185" s="263">
        <v>0</v>
      </c>
      <c r="U185" s="263">
        <v>0</v>
      </c>
      <c r="V185" s="182">
        <v>0</v>
      </c>
      <c r="W185" s="182">
        <v>0</v>
      </c>
      <c r="X185" s="182">
        <v>0</v>
      </c>
      <c r="Y185" s="182">
        <f>SUM(Q185:X185)</f>
        <v>0</v>
      </c>
      <c r="Z185" s="208">
        <f>O185-Y185</f>
        <v>0</v>
      </c>
    </row>
    <row r="186" spans="1:28" x14ac:dyDescent="0.25">
      <c r="A186" s="155" t="s">
        <v>160</v>
      </c>
      <c r="B186" s="202"/>
      <c r="C186" s="202"/>
      <c r="D186" s="203"/>
      <c r="E186" s="215">
        <f>SUM(E181:E185)</f>
        <v>0</v>
      </c>
      <c r="F186" s="215">
        <f t="shared" ref="F186:M186" si="91">SUM(F181:F185)</f>
        <v>0</v>
      </c>
      <c r="G186" s="215">
        <f t="shared" si="91"/>
        <v>0</v>
      </c>
      <c r="H186" s="158">
        <f>+H181+H182+H183+H185</f>
        <v>47313455</v>
      </c>
      <c r="I186" s="158">
        <f>+I181+I182+I183+I185</f>
        <v>150000000</v>
      </c>
      <c r="J186" s="215">
        <f t="shared" si="91"/>
        <v>0</v>
      </c>
      <c r="K186" s="215">
        <f t="shared" si="91"/>
        <v>0</v>
      </c>
      <c r="L186" s="215">
        <f t="shared" si="91"/>
        <v>0</v>
      </c>
      <c r="M186" s="215">
        <f t="shared" si="91"/>
        <v>0</v>
      </c>
      <c r="N186" s="158">
        <f>+N181+N182+N183+N185</f>
        <v>197313455</v>
      </c>
      <c r="O186" s="158">
        <f>+O181+O182+O184+O185</f>
        <v>52993455</v>
      </c>
      <c r="P186" s="158">
        <f t="shared" ref="P186" si="92">+P181+P182+P183+P185</f>
        <v>144320000</v>
      </c>
      <c r="Q186" s="258">
        <f>SUM(Q181:Q185)</f>
        <v>0</v>
      </c>
      <c r="R186" s="258">
        <f t="shared" ref="R186:Z186" si="93">SUM(R181:R185)</f>
        <v>720000</v>
      </c>
      <c r="S186" s="258">
        <f>SUM(S181:S185)</f>
        <v>1822124.28</v>
      </c>
      <c r="T186" s="258">
        <f>SUM(T181:T185)</f>
        <v>6371586.9000000004</v>
      </c>
      <c r="U186" s="258">
        <f>SUM(U181:U185)</f>
        <v>12126945.42</v>
      </c>
      <c r="V186" s="158">
        <f t="shared" si="93"/>
        <v>0</v>
      </c>
      <c r="W186" s="158">
        <f t="shared" si="93"/>
        <v>0</v>
      </c>
      <c r="X186" s="158">
        <f t="shared" si="93"/>
        <v>0</v>
      </c>
      <c r="Y186" s="158">
        <f>SUM(Y181:Y185)</f>
        <v>21040656.600000001</v>
      </c>
      <c r="Z186" s="158">
        <f t="shared" si="93"/>
        <v>31952798.399999999</v>
      </c>
    </row>
    <row r="187" spans="1:28" x14ac:dyDescent="0.25">
      <c r="A187" s="216" t="s">
        <v>111</v>
      </c>
      <c r="B187" s="161">
        <v>0</v>
      </c>
      <c r="C187" s="161">
        <v>0</v>
      </c>
      <c r="D187" s="162">
        <v>587500</v>
      </c>
      <c r="E187" s="164"/>
      <c r="F187" s="164">
        <v>0</v>
      </c>
      <c r="G187" s="164">
        <v>0</v>
      </c>
      <c r="H187" s="164">
        <v>857500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f>SUM(E187:M187)</f>
        <v>857500</v>
      </c>
      <c r="O187" s="164">
        <f>+Y187</f>
        <v>210420</v>
      </c>
      <c r="P187" s="164">
        <f>N187-O187</f>
        <v>647080</v>
      </c>
      <c r="Q187" s="265">
        <f>112000*6%</f>
        <v>6720</v>
      </c>
      <c r="R187" s="265">
        <f>(119000+119000)*6%</f>
        <v>14280</v>
      </c>
      <c r="S187" s="265">
        <f>(304500)*6%</f>
        <v>18270</v>
      </c>
      <c r="T187" s="265"/>
      <c r="U187" s="265">
        <f>(1431500+367500+931000+122500)*6%</f>
        <v>171150</v>
      </c>
      <c r="V187" s="164">
        <v>0</v>
      </c>
      <c r="W187" s="164">
        <v>0</v>
      </c>
      <c r="X187" s="164">
        <v>0</v>
      </c>
      <c r="Y187" s="164">
        <f>SUM(Q187:X187)</f>
        <v>210420</v>
      </c>
      <c r="Z187" s="217">
        <f>O187-Y187</f>
        <v>0</v>
      </c>
      <c r="AB187" s="154"/>
    </row>
    <row r="188" spans="1:28" x14ac:dyDescent="0.25">
      <c r="A188" s="155" t="s">
        <v>25</v>
      </c>
      <c r="B188" s="202"/>
      <c r="C188" s="202"/>
      <c r="D188" s="203"/>
      <c r="E188" s="158"/>
      <c r="F188" s="158"/>
      <c r="G188" s="158"/>
      <c r="H188" s="158">
        <f>SUM(H187:H187)</f>
        <v>857500</v>
      </c>
      <c r="I188" s="158">
        <f>SUM(I187:I187)</f>
        <v>0</v>
      </c>
      <c r="J188" s="158"/>
      <c r="K188" s="158">
        <v>0</v>
      </c>
      <c r="L188" s="158">
        <v>0</v>
      </c>
      <c r="M188" s="158" t="e">
        <f>+M180+M182+M186+#REF!+#REF!</f>
        <v>#REF!</v>
      </c>
      <c r="N188" s="158">
        <f>SUM(N187:N187)</f>
        <v>857500</v>
      </c>
      <c r="O188" s="158">
        <f>+O187</f>
        <v>210420</v>
      </c>
      <c r="P188" s="158">
        <f>SUM(P187:P187)</f>
        <v>647080</v>
      </c>
      <c r="Q188" s="258">
        <f>+Q187</f>
        <v>6720</v>
      </c>
      <c r="R188" s="258">
        <f t="shared" ref="R188:Z188" si="94">+R187</f>
        <v>14280</v>
      </c>
      <c r="S188" s="258">
        <f t="shared" si="94"/>
        <v>18270</v>
      </c>
      <c r="T188" s="258">
        <f t="shared" si="94"/>
        <v>0</v>
      </c>
      <c r="U188" s="258">
        <f t="shared" si="94"/>
        <v>171150</v>
      </c>
      <c r="V188" s="158">
        <f t="shared" si="94"/>
        <v>0</v>
      </c>
      <c r="W188" s="158">
        <f t="shared" si="94"/>
        <v>0</v>
      </c>
      <c r="X188" s="158">
        <f t="shared" si="94"/>
        <v>0</v>
      </c>
      <c r="Y188" s="158">
        <f t="shared" si="94"/>
        <v>210420</v>
      </c>
      <c r="Z188" s="158">
        <f t="shared" si="94"/>
        <v>0</v>
      </c>
    </row>
    <row r="189" spans="1:28" x14ac:dyDescent="0.25">
      <c r="A189" s="155" t="s">
        <v>101</v>
      </c>
      <c r="B189" s="202"/>
      <c r="C189" s="202"/>
      <c r="D189" s="203"/>
      <c r="E189" s="158"/>
      <c r="F189" s="158"/>
      <c r="G189" s="158"/>
      <c r="H189" s="158">
        <f>H168+H137+H180+H186+H188</f>
        <v>549603455</v>
      </c>
      <c r="I189" s="158">
        <f>I168+I137+I180+I186+I188</f>
        <v>841486313</v>
      </c>
      <c r="J189" s="158"/>
      <c r="K189" s="158">
        <v>0</v>
      </c>
      <c r="L189" s="158">
        <v>0</v>
      </c>
      <c r="M189" s="158"/>
      <c r="N189" s="158">
        <f t="shared" ref="N189:Z189" si="95">N168+N137+N180+N186+N188</f>
        <v>1391089768</v>
      </c>
      <c r="O189" s="158">
        <f t="shared" si="95"/>
        <v>414663043</v>
      </c>
      <c r="P189" s="158">
        <f>P168+P137+P180+P186+P188</f>
        <v>976426725</v>
      </c>
      <c r="Q189" s="258">
        <f t="shared" si="95"/>
        <v>180964554.75</v>
      </c>
      <c r="R189" s="258">
        <f t="shared" si="95"/>
        <v>4749980</v>
      </c>
      <c r="S189" s="258">
        <f t="shared" si="95"/>
        <v>6990094.2800000003</v>
      </c>
      <c r="T189" s="258">
        <f t="shared" si="95"/>
        <v>21498956.5</v>
      </c>
      <c r="U189" s="258">
        <f>U168+U137+U180+U186+U188</f>
        <v>39529185.979999997</v>
      </c>
      <c r="V189" s="158">
        <f t="shared" si="95"/>
        <v>0</v>
      </c>
      <c r="W189" s="158">
        <f t="shared" si="95"/>
        <v>0</v>
      </c>
      <c r="X189" s="158">
        <f t="shared" si="95"/>
        <v>0</v>
      </c>
      <c r="Y189" s="158">
        <f t="shared" si="95"/>
        <v>253732771.50999999</v>
      </c>
      <c r="Z189" s="158">
        <f t="shared" si="95"/>
        <v>160930271.49000001</v>
      </c>
    </row>
    <row r="190" spans="1:28" ht="15" customHeight="1" x14ac:dyDescent="0.25">
      <c r="A190" s="205" t="s">
        <v>161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64"/>
      <c r="R190" s="264"/>
      <c r="S190" s="264"/>
      <c r="T190" s="264"/>
      <c r="U190" s="264"/>
      <c r="V190" s="206"/>
      <c r="W190" s="206"/>
      <c r="X190" s="206"/>
      <c r="Y190" s="206"/>
      <c r="Z190" s="207"/>
      <c r="AA190" s="154"/>
    </row>
    <row r="191" spans="1:28" x14ac:dyDescent="0.25">
      <c r="A191" s="218" t="s">
        <v>155</v>
      </c>
      <c r="B191" s="219">
        <v>3</v>
      </c>
      <c r="C191" s="219">
        <v>9</v>
      </c>
      <c r="D191" s="220">
        <v>3030000</v>
      </c>
      <c r="E191" s="221"/>
      <c r="F191" s="221"/>
      <c r="G191" s="221"/>
      <c r="H191" s="221"/>
      <c r="I191" s="221"/>
      <c r="J191" s="221"/>
      <c r="K191" s="222">
        <v>81810000</v>
      </c>
      <c r="L191" s="221"/>
      <c r="M191" s="221"/>
      <c r="N191" s="222">
        <f>SUM(E191:M191)</f>
        <v>81810000</v>
      </c>
      <c r="O191" s="222">
        <f>SUM(O192:O194)</f>
        <v>77265000</v>
      </c>
      <c r="P191" s="222">
        <f>N191-O191</f>
        <v>4545000</v>
      </c>
      <c r="Q191" s="266">
        <f>SUM(Q192:Q194)</f>
        <v>0</v>
      </c>
      <c r="R191" s="267">
        <f t="shared" ref="R191:Z191" si="96">SUM(R192:R194)</f>
        <v>0</v>
      </c>
      <c r="S191" s="267">
        <f t="shared" si="96"/>
        <v>0</v>
      </c>
      <c r="T191" s="267">
        <f t="shared" si="96"/>
        <v>1616000</v>
      </c>
      <c r="U191" s="267">
        <f t="shared" si="96"/>
        <v>5252000</v>
      </c>
      <c r="V191" s="223">
        <f t="shared" si="96"/>
        <v>0</v>
      </c>
      <c r="W191" s="223">
        <f t="shared" si="96"/>
        <v>0</v>
      </c>
      <c r="X191" s="223">
        <f t="shared" si="96"/>
        <v>0</v>
      </c>
      <c r="Y191" s="223">
        <f t="shared" si="96"/>
        <v>6868000</v>
      </c>
      <c r="Z191" s="223">
        <f t="shared" si="96"/>
        <v>70397000</v>
      </c>
    </row>
    <row r="192" spans="1:28" x14ac:dyDescent="0.25">
      <c r="A192" s="99" t="s">
        <v>188</v>
      </c>
      <c r="B192" s="168">
        <v>1</v>
      </c>
      <c r="C192" s="168">
        <v>9</v>
      </c>
      <c r="D192" s="169">
        <v>3030000</v>
      </c>
      <c r="E192" s="172"/>
      <c r="F192" s="172"/>
      <c r="G192" s="172"/>
      <c r="H192" s="172"/>
      <c r="I192" s="172"/>
      <c r="J192" s="172"/>
      <c r="K192" s="182">
        <f>+B192*C192*D192</f>
        <v>27270000</v>
      </c>
      <c r="L192" s="172"/>
      <c r="M192" s="172"/>
      <c r="N192" s="189"/>
      <c r="O192" s="182">
        <f>+B192*C192*D192</f>
        <v>27270000</v>
      </c>
      <c r="P192" s="189"/>
      <c r="Q192" s="268"/>
      <c r="R192" s="268"/>
      <c r="S192" s="268"/>
      <c r="T192" s="268">
        <v>1616000</v>
      </c>
      <c r="U192" s="268">
        <v>3030000</v>
      </c>
      <c r="V192" s="182"/>
      <c r="W192" s="182"/>
      <c r="X192" s="182"/>
      <c r="Y192" s="182">
        <f>SUM(Q192:X192)</f>
        <v>4646000</v>
      </c>
      <c r="Z192" s="208">
        <f>O192-Y192</f>
        <v>22624000</v>
      </c>
    </row>
    <row r="193" spans="1:29" x14ac:dyDescent="0.25">
      <c r="A193" s="99" t="s">
        <v>225</v>
      </c>
      <c r="B193" s="168">
        <v>1</v>
      </c>
      <c r="C193" s="168">
        <v>9</v>
      </c>
      <c r="D193" s="169">
        <v>3030000</v>
      </c>
      <c r="E193" s="172"/>
      <c r="F193" s="172"/>
      <c r="G193" s="172"/>
      <c r="H193" s="172"/>
      <c r="I193" s="172"/>
      <c r="J193" s="172"/>
      <c r="K193" s="182">
        <v>27270000</v>
      </c>
      <c r="L193" s="172"/>
      <c r="M193" s="172"/>
      <c r="N193" s="189"/>
      <c r="O193" s="182">
        <v>27270000</v>
      </c>
      <c r="P193" s="189"/>
      <c r="Q193" s="268"/>
      <c r="R193" s="268"/>
      <c r="S193" s="268"/>
      <c r="T193" s="268"/>
      <c r="U193" s="268">
        <v>1818000</v>
      </c>
      <c r="V193" s="182"/>
      <c r="W193" s="182"/>
      <c r="X193" s="182"/>
      <c r="Y193" s="182">
        <f>SUM(Q193:X193)</f>
        <v>1818000</v>
      </c>
      <c r="Z193" s="208">
        <f>O193-Y193</f>
        <v>25452000</v>
      </c>
    </row>
    <row r="194" spans="1:29" x14ac:dyDescent="0.25">
      <c r="A194" s="191" t="s">
        <v>232</v>
      </c>
      <c r="B194" s="168">
        <v>1</v>
      </c>
      <c r="C194" s="168">
        <v>7.5</v>
      </c>
      <c r="D194" s="169">
        <v>3030000</v>
      </c>
      <c r="E194" s="172"/>
      <c r="F194" s="172"/>
      <c r="G194" s="172"/>
      <c r="H194" s="172"/>
      <c r="I194" s="172"/>
      <c r="J194" s="172"/>
      <c r="K194" s="182">
        <f t="shared" ref="K194" si="97">+B194*C194*D194</f>
        <v>22725000</v>
      </c>
      <c r="L194" s="172"/>
      <c r="M194" s="172"/>
      <c r="N194" s="189"/>
      <c r="O194" s="182">
        <f t="shared" ref="O194" si="98">+B194*C194*D194</f>
        <v>22725000</v>
      </c>
      <c r="P194" s="189"/>
      <c r="Q194" s="268"/>
      <c r="R194" s="268"/>
      <c r="S194" s="268"/>
      <c r="T194" s="268"/>
      <c r="U194" s="268">
        <v>404000</v>
      </c>
      <c r="V194" s="182"/>
      <c r="W194" s="182"/>
      <c r="X194" s="182"/>
      <c r="Y194" s="182">
        <f>SUM(Q194:X194)</f>
        <v>404000</v>
      </c>
      <c r="Z194" s="208">
        <f>O194-Y194</f>
        <v>22321000</v>
      </c>
    </row>
    <row r="195" spans="1:29" x14ac:dyDescent="0.25">
      <c r="A195" s="191"/>
      <c r="B195" s="168"/>
      <c r="C195" s="168"/>
      <c r="D195" s="169"/>
      <c r="E195" s="172"/>
      <c r="F195" s="172"/>
      <c r="G195" s="172"/>
      <c r="H195" s="172"/>
      <c r="I195" s="172"/>
      <c r="J195" s="172"/>
      <c r="K195" s="182"/>
      <c r="L195" s="172"/>
      <c r="M195" s="172"/>
      <c r="N195" s="189"/>
      <c r="O195" s="189"/>
      <c r="P195" s="189"/>
      <c r="Q195" s="268"/>
      <c r="R195" s="268"/>
      <c r="S195" s="268"/>
      <c r="T195" s="268"/>
      <c r="U195" s="268"/>
      <c r="V195" s="182"/>
      <c r="W195" s="182"/>
      <c r="X195" s="182"/>
      <c r="Y195" s="182"/>
      <c r="Z195" s="208"/>
    </row>
    <row r="196" spans="1:29" x14ac:dyDescent="0.25">
      <c r="A196" s="216" t="s">
        <v>139</v>
      </c>
      <c r="B196" s="161" t="s">
        <v>46</v>
      </c>
      <c r="C196" s="161">
        <v>10</v>
      </c>
      <c r="D196" s="162">
        <v>96749879.519999996</v>
      </c>
      <c r="E196" s="164"/>
      <c r="F196" s="164"/>
      <c r="G196" s="164"/>
      <c r="H196" s="164"/>
      <c r="I196" s="164"/>
      <c r="J196" s="164"/>
      <c r="K196" s="164"/>
      <c r="L196" s="164">
        <v>2206826526</v>
      </c>
      <c r="M196" s="172"/>
      <c r="N196" s="165">
        <f>SUM(E196:M196)</f>
        <v>2206826526</v>
      </c>
      <c r="O196" s="165">
        <f>+Y196</f>
        <v>1103413264.2</v>
      </c>
      <c r="P196" s="165">
        <f>N196-O196</f>
        <v>1103413261.8</v>
      </c>
      <c r="Q196" s="269">
        <f>+L196/10</f>
        <v>220682652.59999999</v>
      </c>
      <c r="R196" s="269">
        <f>+L196/10</f>
        <v>220682652.59999999</v>
      </c>
      <c r="S196" s="269">
        <v>220682653</v>
      </c>
      <c r="T196" s="269">
        <v>220682653</v>
      </c>
      <c r="U196" s="269">
        <v>220682653</v>
      </c>
      <c r="V196" s="164"/>
      <c r="W196" s="164"/>
      <c r="X196" s="164"/>
      <c r="Y196" s="165">
        <f>SUM(Q196:X196)</f>
        <v>1103413264.2</v>
      </c>
      <c r="Z196" s="208">
        <f>O196-Y196</f>
        <v>0</v>
      </c>
    </row>
    <row r="197" spans="1:29" x14ac:dyDescent="0.25">
      <c r="A197" s="191"/>
      <c r="B197" s="176"/>
      <c r="C197" s="176"/>
      <c r="D197" s="170"/>
      <c r="E197" s="172"/>
      <c r="F197" s="172"/>
      <c r="G197" s="172"/>
      <c r="H197" s="172"/>
      <c r="I197" s="172"/>
      <c r="J197" s="172"/>
      <c r="K197" s="172"/>
      <c r="L197" s="172"/>
      <c r="M197" s="172"/>
      <c r="N197" s="182"/>
      <c r="O197" s="189"/>
      <c r="P197" s="189"/>
      <c r="Q197" s="268"/>
      <c r="R197" s="268"/>
      <c r="S197" s="268"/>
      <c r="T197" s="268"/>
      <c r="U197" s="268"/>
      <c r="V197" s="182"/>
      <c r="W197" s="182"/>
      <c r="X197" s="182"/>
      <c r="Y197" s="189"/>
      <c r="Z197" s="208"/>
    </row>
    <row r="198" spans="1:29" x14ac:dyDescent="0.25">
      <c r="A198" s="216" t="s">
        <v>47</v>
      </c>
      <c r="B198" s="161" t="s">
        <v>50</v>
      </c>
      <c r="C198" s="161">
        <v>12</v>
      </c>
      <c r="D198" s="162">
        <v>29676936</v>
      </c>
      <c r="E198" s="164"/>
      <c r="F198" s="164"/>
      <c r="G198" s="164"/>
      <c r="H198" s="164"/>
      <c r="I198" s="164"/>
      <c r="J198" s="164"/>
      <c r="K198" s="164"/>
      <c r="L198" s="164">
        <v>356123232</v>
      </c>
      <c r="M198" s="164"/>
      <c r="N198" s="165">
        <f>SUM(E198:M198)</f>
        <v>356123232</v>
      </c>
      <c r="O198" s="165">
        <f>+Y198</f>
        <v>148384680</v>
      </c>
      <c r="P198" s="165">
        <f>N198-O198</f>
        <v>207738552</v>
      </c>
      <c r="Q198" s="269">
        <v>29676936</v>
      </c>
      <c r="R198" s="269">
        <v>29676936</v>
      </c>
      <c r="S198" s="269">
        <v>29676936</v>
      </c>
      <c r="T198" s="269">
        <v>29676936</v>
      </c>
      <c r="U198" s="269">
        <v>29676936</v>
      </c>
      <c r="V198" s="164"/>
      <c r="W198" s="164"/>
      <c r="X198" s="164"/>
      <c r="Y198" s="165">
        <f>SUM(Q198:X198)</f>
        <v>148384680</v>
      </c>
      <c r="Z198" s="217">
        <f>O198-Y198</f>
        <v>0</v>
      </c>
      <c r="AB198" s="154"/>
    </row>
    <row r="199" spans="1:29" x14ac:dyDescent="0.25">
      <c r="A199" s="191"/>
      <c r="B199" s="176"/>
      <c r="C199" s="176"/>
      <c r="D199" s="170"/>
      <c r="E199" s="172"/>
      <c r="F199" s="172"/>
      <c r="G199" s="172"/>
      <c r="H199" s="172"/>
      <c r="I199" s="172"/>
      <c r="J199" s="172"/>
      <c r="K199" s="172"/>
      <c r="L199" s="172"/>
      <c r="M199" s="172"/>
      <c r="N199" s="189"/>
      <c r="O199" s="189"/>
      <c r="P199" s="189"/>
      <c r="Q199" s="270"/>
      <c r="R199" s="270"/>
      <c r="S199" s="270"/>
      <c r="T199" s="268"/>
      <c r="U199" s="268"/>
      <c r="V199" s="182"/>
      <c r="W199" s="182"/>
      <c r="X199" s="182"/>
      <c r="Y199" s="189"/>
      <c r="Z199" s="208"/>
    </row>
    <row r="200" spans="1:29" x14ac:dyDescent="0.25">
      <c r="A200" s="216" t="s">
        <v>48</v>
      </c>
      <c r="B200" s="161" t="s">
        <v>46</v>
      </c>
      <c r="C200" s="161">
        <v>1</v>
      </c>
      <c r="D200" s="162">
        <v>0</v>
      </c>
      <c r="E200" s="164">
        <v>0</v>
      </c>
      <c r="F200" s="164"/>
      <c r="G200" s="164"/>
      <c r="H200" s="164"/>
      <c r="I200" s="164"/>
      <c r="J200" s="164"/>
      <c r="K200" s="164"/>
      <c r="L200" s="164">
        <v>150231839</v>
      </c>
      <c r="M200" s="164"/>
      <c r="N200" s="165">
        <f>SUM(E200:M200)</f>
        <v>150231839</v>
      </c>
      <c r="O200" s="165">
        <f>+Y200</f>
        <v>62596599.833333328</v>
      </c>
      <c r="P200" s="165">
        <f>N200-O200</f>
        <v>87635239.166666672</v>
      </c>
      <c r="Q200" s="269">
        <v>12519319.916666666</v>
      </c>
      <c r="R200" s="269">
        <v>12519319.916666666</v>
      </c>
      <c r="S200" s="269">
        <v>12519320</v>
      </c>
      <c r="T200" s="269">
        <v>12519320</v>
      </c>
      <c r="U200" s="269">
        <v>12519320</v>
      </c>
      <c r="V200" s="164">
        <f t="shared" ref="V200:X200" si="99">+V204</f>
        <v>0</v>
      </c>
      <c r="W200" s="164">
        <f t="shared" si="99"/>
        <v>0</v>
      </c>
      <c r="X200" s="164">
        <f t="shared" si="99"/>
        <v>0</v>
      </c>
      <c r="Y200" s="165">
        <f>SUM(Q200:X200)</f>
        <v>62596599.833333328</v>
      </c>
      <c r="Z200" s="217">
        <f>O200-Y200</f>
        <v>0</v>
      </c>
    </row>
    <row r="201" spans="1:29" s="136" customFormat="1" x14ac:dyDescent="0.25">
      <c r="A201" s="191"/>
      <c r="B201" s="180"/>
      <c r="C201" s="180"/>
      <c r="D201" s="181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9"/>
      <c r="P201" s="189"/>
      <c r="Q201" s="268"/>
      <c r="R201" s="268"/>
      <c r="S201" s="268"/>
      <c r="T201" s="268"/>
      <c r="U201" s="268"/>
      <c r="V201" s="182"/>
      <c r="W201" s="182"/>
      <c r="X201" s="182"/>
      <c r="Y201" s="189"/>
      <c r="Z201" s="208"/>
    </row>
    <row r="202" spans="1:29" x14ac:dyDescent="0.25">
      <c r="A202" s="216" t="s">
        <v>80</v>
      </c>
      <c r="B202" s="161"/>
      <c r="C202" s="161"/>
      <c r="D202" s="162"/>
      <c r="E202" s="164"/>
      <c r="F202" s="164"/>
      <c r="G202" s="164"/>
      <c r="H202" s="164"/>
      <c r="I202" s="164"/>
      <c r="J202" s="164"/>
      <c r="K202" s="164"/>
      <c r="L202" s="164">
        <v>2900000</v>
      </c>
      <c r="M202" s="164"/>
      <c r="N202" s="165">
        <f>+L202</f>
        <v>2900000</v>
      </c>
      <c r="O202" s="165">
        <f>+Y202</f>
        <v>906216</v>
      </c>
      <c r="P202" s="165">
        <f>N202-O202</f>
        <v>1993784</v>
      </c>
      <c r="Q202" s="271"/>
      <c r="R202" s="271"/>
      <c r="S202" s="271"/>
      <c r="T202" s="271"/>
      <c r="U202" s="269">
        <v>906216</v>
      </c>
      <c r="V202" s="164"/>
      <c r="W202" s="164"/>
      <c r="X202" s="164"/>
      <c r="Y202" s="165">
        <f>SUM(Q202:X202)</f>
        <v>906216</v>
      </c>
      <c r="Z202" s="217">
        <f>O202-Y202</f>
        <v>0</v>
      </c>
    </row>
    <row r="203" spans="1:29" s="136" customFormat="1" x14ac:dyDescent="0.25">
      <c r="A203" s="191"/>
      <c r="B203" s="180"/>
      <c r="C203" s="180"/>
      <c r="D203" s="181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9"/>
      <c r="P203" s="189"/>
      <c r="Q203" s="268"/>
      <c r="R203" s="268"/>
      <c r="S203" s="268"/>
      <c r="T203" s="268"/>
      <c r="U203" s="268"/>
      <c r="V203" s="182"/>
      <c r="W203" s="182"/>
      <c r="X203" s="182"/>
      <c r="Y203" s="189"/>
      <c r="Z203" s="208"/>
    </row>
    <row r="204" spans="1:29" s="136" customFormat="1" x14ac:dyDescent="0.25">
      <c r="A204" s="216" t="s">
        <v>156</v>
      </c>
      <c r="B204" s="161"/>
      <c r="C204" s="161"/>
      <c r="D204" s="162"/>
      <c r="E204" s="164"/>
      <c r="F204" s="164"/>
      <c r="G204" s="164"/>
      <c r="H204" s="164"/>
      <c r="I204" s="164"/>
      <c r="J204" s="164"/>
      <c r="K204" s="164"/>
      <c r="L204" s="164">
        <v>34000000</v>
      </c>
      <c r="M204" s="164"/>
      <c r="N204" s="165">
        <f>+L204</f>
        <v>34000000</v>
      </c>
      <c r="O204" s="165">
        <f>+Y204</f>
        <v>20265062</v>
      </c>
      <c r="P204" s="165">
        <f>N204-O204</f>
        <v>13734938</v>
      </c>
      <c r="Q204" s="271">
        <v>0</v>
      </c>
      <c r="R204" s="271">
        <v>0</v>
      </c>
      <c r="S204" s="271"/>
      <c r="T204" s="271"/>
      <c r="U204" s="269">
        <v>20265062</v>
      </c>
      <c r="V204" s="162"/>
      <c r="W204" s="162"/>
      <c r="X204" s="162"/>
      <c r="Y204" s="165">
        <f>SUM(Q204:X204)</f>
        <v>20265062</v>
      </c>
      <c r="Z204" s="217">
        <f>O204-Y204</f>
        <v>0</v>
      </c>
    </row>
    <row r="205" spans="1:29" s="136" customFormat="1" x14ac:dyDescent="0.25">
      <c r="A205" s="216" t="s">
        <v>140</v>
      </c>
      <c r="B205" s="161" t="s">
        <v>46</v>
      </c>
      <c r="C205" s="161">
        <v>1</v>
      </c>
      <c r="D205" s="164">
        <v>5600000</v>
      </c>
      <c r="E205" s="164"/>
      <c r="F205" s="164"/>
      <c r="G205" s="164"/>
      <c r="H205" s="164"/>
      <c r="I205" s="164"/>
      <c r="J205" s="164"/>
      <c r="K205" s="165">
        <v>5600000</v>
      </c>
      <c r="L205" s="164"/>
      <c r="M205" s="164"/>
      <c r="N205" s="165">
        <f>SUM(E205:M205)</f>
        <v>5600000</v>
      </c>
      <c r="O205" s="165">
        <f>+Y205</f>
        <v>1703632</v>
      </c>
      <c r="P205" s="165">
        <f>N205-O205</f>
        <v>3896368</v>
      </c>
      <c r="Q205" s="269">
        <f>+Q206</f>
        <v>374716</v>
      </c>
      <c r="R205" s="269">
        <f>R206</f>
        <v>329676</v>
      </c>
      <c r="S205" s="269">
        <f>S206</f>
        <v>326060</v>
      </c>
      <c r="T205" s="269">
        <f>T206</f>
        <v>330070</v>
      </c>
      <c r="U205" s="269">
        <f>U206</f>
        <v>343110</v>
      </c>
      <c r="V205" s="164">
        <f>+V206</f>
        <v>0</v>
      </c>
      <c r="W205" s="164">
        <f>+W206</f>
        <v>0</v>
      </c>
      <c r="X205" s="164">
        <f>+X206</f>
        <v>0</v>
      </c>
      <c r="Y205" s="165">
        <f>SUM(Q205:X205)</f>
        <v>1703632</v>
      </c>
      <c r="Z205" s="217">
        <f>O205-Y205</f>
        <v>0</v>
      </c>
    </row>
    <row r="206" spans="1:29" s="136" customFormat="1" x14ac:dyDescent="0.25">
      <c r="A206" s="191"/>
      <c r="B206" s="180"/>
      <c r="C206" s="180"/>
      <c r="D206" s="181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268">
        <v>374716</v>
      </c>
      <c r="R206" s="268">
        <v>329676</v>
      </c>
      <c r="S206" s="268">
        <v>326060</v>
      </c>
      <c r="T206" s="268">
        <v>330070</v>
      </c>
      <c r="U206" s="268">
        <v>343110</v>
      </c>
      <c r="V206" s="181"/>
      <c r="W206" s="181"/>
      <c r="X206" s="181"/>
      <c r="Y206" s="182"/>
      <c r="Z206" s="208"/>
    </row>
    <row r="207" spans="1:29" x14ac:dyDescent="0.25">
      <c r="A207" s="216" t="s">
        <v>49</v>
      </c>
      <c r="B207" s="161"/>
      <c r="C207" s="161"/>
      <c r="D207" s="162"/>
      <c r="E207" s="164">
        <v>0</v>
      </c>
      <c r="F207" s="164">
        <v>0</v>
      </c>
      <c r="G207" s="164">
        <v>0</v>
      </c>
      <c r="H207" s="164">
        <v>0</v>
      </c>
      <c r="I207" s="164">
        <v>0</v>
      </c>
      <c r="J207" s="164">
        <v>0</v>
      </c>
      <c r="K207" s="164">
        <v>0</v>
      </c>
      <c r="L207" s="164">
        <v>0</v>
      </c>
      <c r="M207" s="164">
        <v>0</v>
      </c>
      <c r="N207" s="164">
        <f>SUM(E207:M207)</f>
        <v>0</v>
      </c>
      <c r="O207" s="164">
        <v>0</v>
      </c>
      <c r="P207" s="164">
        <f>N207-O207</f>
        <v>0</v>
      </c>
      <c r="Q207" s="164">
        <f>+Q208</f>
        <v>0</v>
      </c>
      <c r="R207" s="164">
        <f>+R208</f>
        <v>0</v>
      </c>
      <c r="S207" s="164">
        <f>+S208</f>
        <v>0</v>
      </c>
      <c r="T207" s="164">
        <f t="shared" ref="T207:X207" si="100">+T208</f>
        <v>0</v>
      </c>
      <c r="U207" s="265">
        <f t="shared" si="100"/>
        <v>0</v>
      </c>
      <c r="V207" s="164">
        <f t="shared" si="100"/>
        <v>0</v>
      </c>
      <c r="W207" s="164">
        <f t="shared" si="100"/>
        <v>0</v>
      </c>
      <c r="X207" s="164">
        <f t="shared" si="100"/>
        <v>0</v>
      </c>
      <c r="Y207" s="164">
        <f>SUM(Q207:X207)</f>
        <v>0</v>
      </c>
      <c r="Z207" s="217">
        <f>O207-Y207</f>
        <v>0</v>
      </c>
      <c r="AC207" s="174"/>
    </row>
    <row r="208" spans="1:29" x14ac:dyDescent="0.25">
      <c r="A208" s="224"/>
      <c r="B208" s="176"/>
      <c r="C208" s="176"/>
      <c r="D208" s="170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1"/>
      <c r="R208" s="171"/>
      <c r="S208" s="171"/>
      <c r="T208" s="171"/>
      <c r="U208" s="171"/>
      <c r="V208" s="171"/>
      <c r="W208" s="171"/>
      <c r="X208" s="171"/>
      <c r="Y208" s="182"/>
      <c r="Z208" s="194"/>
    </row>
    <row r="209" spans="1:28" x14ac:dyDescent="0.25">
      <c r="A209" s="155" t="s">
        <v>25</v>
      </c>
      <c r="B209" s="202"/>
      <c r="C209" s="202"/>
      <c r="D209" s="203"/>
      <c r="E209" s="158"/>
      <c r="F209" s="158"/>
      <c r="G209" s="158" t="e">
        <f>+#REF!+#REF!+#REF!+#REF!+G207</f>
        <v>#REF!</v>
      </c>
      <c r="H209" s="158"/>
      <c r="I209" s="158"/>
      <c r="J209" s="158" t="e">
        <f>+#REF!+#REF!+#REF!+#REF!+J207</f>
        <v>#REF!</v>
      </c>
      <c r="K209" s="158">
        <f>+K191+K205</f>
        <v>87410000</v>
      </c>
      <c r="L209" s="158">
        <f>SUM(L196:L208)</f>
        <v>2750081597</v>
      </c>
      <c r="M209" s="158" t="e">
        <f>+#REF!+#REF!+#REF!+#REF!+M207</f>
        <v>#REF!</v>
      </c>
      <c r="N209" s="158">
        <f>SUM(N191:N208)</f>
        <v>2837491597</v>
      </c>
      <c r="O209" s="158">
        <f>+O191+O205+O200+O198+O196+O204+O202</f>
        <v>1414534454.0333333</v>
      </c>
      <c r="P209" s="158">
        <f>SUM(P191:P207)</f>
        <v>1422957142.9666667</v>
      </c>
      <c r="Q209" s="158">
        <f>+Q205+Q200+Q198+Q196+Q191+Q202+Q204</f>
        <v>263253624.51666665</v>
      </c>
      <c r="R209" s="158">
        <f t="shared" ref="R209:X209" si="101">+R205+R200+R198+R196+R191+R202+R204</f>
        <v>263208584.51666665</v>
      </c>
      <c r="S209" s="158">
        <f t="shared" si="101"/>
        <v>263204969</v>
      </c>
      <c r="T209" s="158">
        <f t="shared" si="101"/>
        <v>264824979</v>
      </c>
      <c r="U209" s="158">
        <f>+U205+U200+U198+U196+U191+U202+U204</f>
        <v>289645297</v>
      </c>
      <c r="V209" s="158">
        <f t="shared" si="101"/>
        <v>0</v>
      </c>
      <c r="W209" s="158">
        <f t="shared" si="101"/>
        <v>0</v>
      </c>
      <c r="X209" s="158">
        <f t="shared" si="101"/>
        <v>0</v>
      </c>
      <c r="Y209" s="158">
        <f>+Y205+Y200+Y198+Y196+Y191+Y202+Y204</f>
        <v>1344137454.0333333</v>
      </c>
      <c r="Z209" s="158">
        <f>+Z205+Z200+Z198+Z196+Z191+Z202+Z204</f>
        <v>70397000</v>
      </c>
    </row>
    <row r="210" spans="1:28" x14ac:dyDescent="0.25">
      <c r="A210" s="155" t="s">
        <v>103</v>
      </c>
      <c r="B210" s="202"/>
      <c r="C210" s="202"/>
      <c r="D210" s="203"/>
      <c r="E210" s="158"/>
      <c r="F210" s="158"/>
      <c r="G210" s="158"/>
      <c r="H210" s="158"/>
      <c r="I210" s="158"/>
      <c r="J210" s="158"/>
      <c r="K210" s="158">
        <f>+K209</f>
        <v>87410000</v>
      </c>
      <c r="L210" s="158">
        <f>L209+L130+L123</f>
        <v>2750081597</v>
      </c>
      <c r="M210" s="158"/>
      <c r="N210" s="158">
        <f>+N209</f>
        <v>2837491597</v>
      </c>
      <c r="O210" s="158">
        <f>+O209</f>
        <v>1414534454.0333333</v>
      </c>
      <c r="P210" s="158">
        <f>+P209</f>
        <v>1422957142.9666667</v>
      </c>
      <c r="Q210" s="158">
        <f t="shared" ref="Q210:S210" si="102">+Q209</f>
        <v>263253624.51666665</v>
      </c>
      <c r="R210" s="158">
        <f t="shared" si="102"/>
        <v>263208584.51666665</v>
      </c>
      <c r="S210" s="158">
        <f t="shared" si="102"/>
        <v>263204969</v>
      </c>
      <c r="T210" s="158">
        <f>+T209</f>
        <v>264824979</v>
      </c>
      <c r="U210" s="158">
        <f>+U209</f>
        <v>289645297</v>
      </c>
      <c r="V210" s="158"/>
      <c r="W210" s="158"/>
      <c r="X210" s="158"/>
      <c r="Y210" s="158">
        <f>+Y209</f>
        <v>1344137454.0333333</v>
      </c>
      <c r="Z210" s="195">
        <f>O210-Y210</f>
        <v>70397000</v>
      </c>
      <c r="AA210" s="154"/>
      <c r="AB210" s="154"/>
    </row>
    <row r="211" spans="1:28" x14ac:dyDescent="0.25">
      <c r="A211" s="155" t="s">
        <v>60</v>
      </c>
      <c r="B211" s="202"/>
      <c r="C211" s="202"/>
      <c r="D211" s="203"/>
      <c r="E211" s="158">
        <f>E134+E200</f>
        <v>5061050262.132</v>
      </c>
      <c r="F211" s="158">
        <f>F134</f>
        <v>252150000</v>
      </c>
      <c r="G211" s="158"/>
      <c r="H211" s="158">
        <f>H189</f>
        <v>549603455</v>
      </c>
      <c r="I211" s="158">
        <f>I189</f>
        <v>841486313</v>
      </c>
      <c r="J211" s="158"/>
      <c r="K211" s="158">
        <f>K210</f>
        <v>87410000</v>
      </c>
      <c r="L211" s="158">
        <f>L210</f>
        <v>2750081597</v>
      </c>
      <c r="M211" s="158"/>
      <c r="N211" s="158">
        <f t="shared" ref="N211:Z211" si="103">N134+N189+N210</f>
        <v>9541781627.132</v>
      </c>
      <c r="O211" s="158">
        <f t="shared" si="103"/>
        <v>4109765924.1973333</v>
      </c>
      <c r="P211" s="158">
        <f t="shared" si="103"/>
        <v>5432015702.9346666</v>
      </c>
      <c r="Q211" s="158">
        <f t="shared" si="103"/>
        <v>494295059.51666665</v>
      </c>
      <c r="R211" s="158">
        <f t="shared" si="103"/>
        <v>322222435.68066663</v>
      </c>
      <c r="S211" s="158">
        <f t="shared" si="103"/>
        <v>350776207</v>
      </c>
      <c r="T211" s="158">
        <f t="shared" si="103"/>
        <v>526363414</v>
      </c>
      <c r="U211" s="158">
        <f t="shared" si="103"/>
        <v>807833816</v>
      </c>
      <c r="V211" s="158">
        <f t="shared" si="103"/>
        <v>0</v>
      </c>
      <c r="W211" s="158">
        <f t="shared" si="103"/>
        <v>0</v>
      </c>
      <c r="X211" s="158">
        <f t="shared" si="103"/>
        <v>0</v>
      </c>
      <c r="Y211" s="158">
        <f t="shared" si="103"/>
        <v>2501490932.1973333</v>
      </c>
      <c r="Z211" s="195">
        <f t="shared" si="103"/>
        <v>1608274992</v>
      </c>
      <c r="AA211" s="154"/>
      <c r="AB211" s="154"/>
    </row>
    <row r="212" spans="1:28" s="226" customFormat="1" x14ac:dyDescent="0.25">
      <c r="A212" s="167"/>
      <c r="B212" s="176"/>
      <c r="C212" s="176"/>
      <c r="D212" s="170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225"/>
      <c r="AB212" s="227"/>
    </row>
    <row r="213" spans="1:28" s="234" customFormat="1" ht="19.5" customHeight="1" x14ac:dyDescent="0.25">
      <c r="A213" s="228" t="s">
        <v>51</v>
      </c>
      <c r="B213" s="229"/>
      <c r="C213" s="229"/>
      <c r="D213" s="230"/>
      <c r="E213" s="230">
        <f>E211</f>
        <v>5061050262.132</v>
      </c>
      <c r="F213" s="230">
        <f>F211</f>
        <v>252150000</v>
      </c>
      <c r="G213" s="230" t="e">
        <f>+G168+G137+G180+#REF!+#REF!+G209</f>
        <v>#REF!</v>
      </c>
      <c r="H213" s="230">
        <v>0</v>
      </c>
      <c r="I213" s="230">
        <v>0</v>
      </c>
      <c r="J213" s="230">
        <v>0</v>
      </c>
      <c r="K213" s="230">
        <v>0</v>
      </c>
      <c r="L213" s="230">
        <v>0</v>
      </c>
      <c r="M213" s="230">
        <v>0</v>
      </c>
      <c r="N213" s="230">
        <f>E213+F213</f>
        <v>5313200262.132</v>
      </c>
      <c r="O213" s="230">
        <f>O134</f>
        <v>2280568427.164</v>
      </c>
      <c r="P213" s="230">
        <f>P134</f>
        <v>3032631834.9679999</v>
      </c>
      <c r="Q213" s="230">
        <f>+Q134</f>
        <v>50076880.25</v>
      </c>
      <c r="R213" s="230">
        <f t="shared" ref="R213:Z213" si="104">R134</f>
        <v>54263871.163999997</v>
      </c>
      <c r="S213" s="230">
        <f t="shared" si="104"/>
        <v>80581143.719999999</v>
      </c>
      <c r="T213" s="230">
        <f t="shared" si="104"/>
        <v>240039478.5</v>
      </c>
      <c r="U213" s="230">
        <f t="shared" si="104"/>
        <v>478659333.01999998</v>
      </c>
      <c r="V213" s="230">
        <f t="shared" si="104"/>
        <v>0</v>
      </c>
      <c r="W213" s="230">
        <f t="shared" si="104"/>
        <v>0</v>
      </c>
      <c r="X213" s="230">
        <f t="shared" si="104"/>
        <v>0</v>
      </c>
      <c r="Y213" s="230">
        <f t="shared" si="104"/>
        <v>903620706.65400004</v>
      </c>
      <c r="Z213" s="231">
        <f t="shared" si="104"/>
        <v>1376947720.51</v>
      </c>
      <c r="AA213" s="232"/>
      <c r="AB213" s="233"/>
    </row>
    <row r="214" spans="1:28" s="234" customFormat="1" ht="19.5" customHeight="1" x14ac:dyDescent="0.25">
      <c r="A214" s="228" t="s">
        <v>52</v>
      </c>
      <c r="B214" s="229"/>
      <c r="C214" s="229"/>
      <c r="D214" s="230"/>
      <c r="E214" s="230">
        <v>0</v>
      </c>
      <c r="F214" s="230">
        <v>0</v>
      </c>
      <c r="G214" s="230">
        <v>0</v>
      </c>
      <c r="H214" s="230">
        <f>H211</f>
        <v>549603455</v>
      </c>
      <c r="I214" s="230">
        <f>I211</f>
        <v>841486313</v>
      </c>
      <c r="J214" s="230">
        <f>J211</f>
        <v>0</v>
      </c>
      <c r="K214" s="230">
        <v>0</v>
      </c>
      <c r="L214" s="230">
        <v>0</v>
      </c>
      <c r="M214" s="230">
        <v>0</v>
      </c>
      <c r="N214" s="230">
        <f>H214+I214</f>
        <v>1391089768</v>
      </c>
      <c r="O214" s="230">
        <f>O189</f>
        <v>414663043</v>
      </c>
      <c r="P214" s="230">
        <f>P189</f>
        <v>976426725</v>
      </c>
      <c r="Q214" s="230">
        <f>+Q189</f>
        <v>180964554.75</v>
      </c>
      <c r="R214" s="230">
        <f>+R189</f>
        <v>4749980</v>
      </c>
      <c r="S214" s="230">
        <f>S189</f>
        <v>6990094.2800000003</v>
      </c>
      <c r="T214" s="230">
        <f>T189</f>
        <v>21498956.5</v>
      </c>
      <c r="U214" s="230">
        <f>U189</f>
        <v>39529185.979999997</v>
      </c>
      <c r="V214" s="230">
        <f t="shared" ref="V214:X214" si="105">V189</f>
        <v>0</v>
      </c>
      <c r="W214" s="230">
        <f t="shared" si="105"/>
        <v>0</v>
      </c>
      <c r="X214" s="230">
        <f t="shared" si="105"/>
        <v>0</v>
      </c>
      <c r="Y214" s="230">
        <f>Y189</f>
        <v>253732771.50999999</v>
      </c>
      <c r="Z214" s="231">
        <f>Z189</f>
        <v>160930271.49000001</v>
      </c>
      <c r="AA214" s="232"/>
      <c r="AB214" s="233"/>
    </row>
    <row r="215" spans="1:28" s="234" customFormat="1" ht="19.5" customHeight="1" x14ac:dyDescent="0.25">
      <c r="A215" s="228" t="s">
        <v>53</v>
      </c>
      <c r="B215" s="229"/>
      <c r="C215" s="229"/>
      <c r="D215" s="230"/>
      <c r="E215" s="230">
        <v>0</v>
      </c>
      <c r="F215" s="230">
        <v>0</v>
      </c>
      <c r="G215" s="230">
        <v>0</v>
      </c>
      <c r="H215" s="230">
        <v>0</v>
      </c>
      <c r="I215" s="230">
        <v>0</v>
      </c>
      <c r="J215" s="230">
        <v>0</v>
      </c>
      <c r="K215" s="230">
        <f>K211</f>
        <v>87410000</v>
      </c>
      <c r="L215" s="230">
        <f>L211</f>
        <v>2750081597</v>
      </c>
      <c r="M215" s="230">
        <f>M211</f>
        <v>0</v>
      </c>
      <c r="N215" s="230">
        <f>K215+L215</f>
        <v>2837491597</v>
      </c>
      <c r="O215" s="230">
        <f>O210</f>
        <v>1414534454.0333333</v>
      </c>
      <c r="P215" s="230">
        <f>P210</f>
        <v>1422957142.9666667</v>
      </c>
      <c r="Q215" s="230">
        <f>Q209</f>
        <v>263253624.51666665</v>
      </c>
      <c r="R215" s="230">
        <f t="shared" ref="R215:X215" si="106">R209</f>
        <v>263208584.51666665</v>
      </c>
      <c r="S215" s="230">
        <f t="shared" si="106"/>
        <v>263204969</v>
      </c>
      <c r="T215" s="230">
        <f t="shared" si="106"/>
        <v>264824979</v>
      </c>
      <c r="U215" s="230">
        <f t="shared" si="106"/>
        <v>289645297</v>
      </c>
      <c r="V215" s="230">
        <f t="shared" si="106"/>
        <v>0</v>
      </c>
      <c r="W215" s="230">
        <f t="shared" si="106"/>
        <v>0</v>
      </c>
      <c r="X215" s="230">
        <f t="shared" si="106"/>
        <v>0</v>
      </c>
      <c r="Y215" s="230">
        <f>Y210</f>
        <v>1344137454.0333333</v>
      </c>
      <c r="Z215" s="231">
        <f>Z210</f>
        <v>70397000</v>
      </c>
      <c r="AA215" s="232"/>
      <c r="AB215" s="233"/>
    </row>
    <row r="216" spans="1:28" s="238" customFormat="1" ht="19.5" customHeight="1" x14ac:dyDescent="0.25">
      <c r="A216" s="235" t="s">
        <v>2</v>
      </c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>
        <f>+N213+N214+N215</f>
        <v>9541781627.132</v>
      </c>
      <c r="O216" s="236">
        <f>SUM(O213:O215)</f>
        <v>4109765924.1973333</v>
      </c>
      <c r="P216" s="236">
        <f>SUM(P213:P215)</f>
        <v>5432015702.9346666</v>
      </c>
      <c r="Q216" s="236">
        <f>SUM(Q213:Q215)</f>
        <v>494295059.51666665</v>
      </c>
      <c r="R216" s="236">
        <f t="shared" ref="R216:S216" si="107">SUM(R213:R215)</f>
        <v>322222435.68066663</v>
      </c>
      <c r="S216" s="236">
        <f t="shared" si="107"/>
        <v>350776207</v>
      </c>
      <c r="T216" s="236">
        <f>SUM(T213:T215)</f>
        <v>526363414</v>
      </c>
      <c r="U216" s="236">
        <f>SUM(U213:U215)</f>
        <v>807833816</v>
      </c>
      <c r="V216" s="236">
        <f t="shared" ref="V216:X216" si="108">SUM(V213:V215)</f>
        <v>0</v>
      </c>
      <c r="W216" s="236">
        <f t="shared" si="108"/>
        <v>0</v>
      </c>
      <c r="X216" s="236">
        <f t="shared" si="108"/>
        <v>0</v>
      </c>
      <c r="Y216" s="236">
        <f>SUM(Y213:Y215)</f>
        <v>2501490932.1973333</v>
      </c>
      <c r="Z216" s="237">
        <f>SUM(Z213:Z215)</f>
        <v>1608274992</v>
      </c>
    </row>
    <row r="217" spans="1:28" s="174" customFormat="1" ht="15.75" thickBot="1" x14ac:dyDescent="0.3">
      <c r="A217" s="239" t="s">
        <v>22</v>
      </c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1"/>
      <c r="N217" s="241">
        <f t="shared" ref="N217:U217" si="109">+N216/$N$216</f>
        <v>1</v>
      </c>
      <c r="O217" s="241">
        <f t="shared" si="109"/>
        <v>0.43071263677961757</v>
      </c>
      <c r="P217" s="241">
        <f t="shared" si="109"/>
        <v>0.56928736322038243</v>
      </c>
      <c r="Q217" s="241">
        <f t="shared" si="109"/>
        <v>5.1803224893676204E-2</v>
      </c>
      <c r="R217" s="241">
        <f t="shared" si="109"/>
        <v>3.3769630062003203E-2</v>
      </c>
      <c r="S217" s="241">
        <f t="shared" si="109"/>
        <v>3.6762128993035215E-2</v>
      </c>
      <c r="T217" s="241">
        <f t="shared" si="109"/>
        <v>5.5164059980506025E-2</v>
      </c>
      <c r="U217" s="241">
        <f t="shared" si="109"/>
        <v>8.4662786004547547E-2</v>
      </c>
      <c r="V217" s="241"/>
      <c r="W217" s="241"/>
      <c r="X217" s="241"/>
      <c r="Y217" s="241">
        <f>+Y216/$N$216</f>
        <v>0.26216182993376819</v>
      </c>
      <c r="Z217" s="242">
        <f>+Z216/O216</f>
        <v>0.39133007126533798</v>
      </c>
    </row>
    <row r="218" spans="1:28" s="174" customFormat="1" x14ac:dyDescent="0.25">
      <c r="A218" s="243"/>
      <c r="B218" s="244"/>
      <c r="C218" s="244"/>
      <c r="D218" s="244"/>
      <c r="E218" s="244"/>
      <c r="F218" s="244"/>
      <c r="G218" s="244"/>
      <c r="H218" s="244"/>
      <c r="I218" s="244"/>
      <c r="J218" s="244"/>
      <c r="K218" s="244"/>
      <c r="L218" s="244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</row>
    <row r="219" spans="1:28" s="174" customFormat="1" x14ac:dyDescent="0.25">
      <c r="A219" s="243"/>
      <c r="B219" s="244"/>
      <c r="C219" s="244"/>
      <c r="D219" s="244"/>
      <c r="E219" s="244"/>
      <c r="F219" s="244"/>
      <c r="G219" s="244"/>
      <c r="H219" s="244"/>
      <c r="I219" s="244"/>
      <c r="J219" s="244"/>
      <c r="K219" s="244"/>
      <c r="L219" s="244"/>
      <c r="M219" s="245"/>
      <c r="N219" s="245"/>
      <c r="O219" s="245"/>
      <c r="P219" s="245"/>
      <c r="Q219" s="246"/>
      <c r="R219" s="245"/>
      <c r="S219" s="245"/>
      <c r="T219" s="245"/>
      <c r="U219" s="245"/>
      <c r="V219" s="245"/>
      <c r="W219" s="245"/>
      <c r="X219" s="245"/>
      <c r="Y219" s="245"/>
      <c r="Z219" s="247"/>
    </row>
    <row r="220" spans="1:28" s="174" customFormat="1" x14ac:dyDescent="0.25">
      <c r="A220" s="248"/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9"/>
      <c r="Q220" s="249"/>
      <c r="R220" s="249"/>
      <c r="S220" s="249"/>
      <c r="T220" s="248"/>
      <c r="U220" s="248"/>
      <c r="V220" s="248"/>
      <c r="W220" s="248"/>
      <c r="X220" s="249"/>
      <c r="Y220" s="249"/>
      <c r="Z220" s="248"/>
    </row>
    <row r="221" spans="1:28" x14ac:dyDescent="0.25">
      <c r="M221" s="114"/>
      <c r="N221" s="114"/>
      <c r="O221" s="250"/>
      <c r="P221" s="251"/>
      <c r="Z221" s="154"/>
    </row>
    <row r="222" spans="1:28" x14ac:dyDescent="0.25">
      <c r="I222" s="154"/>
      <c r="M222" s="114"/>
      <c r="N222" s="114"/>
      <c r="O222" s="253"/>
      <c r="P222" s="251"/>
      <c r="Z222" s="154"/>
    </row>
    <row r="223" spans="1:28" x14ac:dyDescent="0.25">
      <c r="M223" s="114"/>
      <c r="N223" s="114"/>
      <c r="O223" s="253"/>
      <c r="P223" s="251"/>
    </row>
    <row r="224" spans="1:28" x14ac:dyDescent="0.25">
      <c r="O224" s="254"/>
    </row>
    <row r="225" spans="15:15" x14ac:dyDescent="0.25">
      <c r="O225" s="254"/>
    </row>
    <row r="226" spans="15:15" x14ac:dyDescent="0.25">
      <c r="O226" s="254"/>
    </row>
    <row r="227" spans="15:15" x14ac:dyDescent="0.25">
      <c r="O227" s="254"/>
    </row>
  </sheetData>
  <mergeCells count="26">
    <mergeCell ref="Z24:Z25"/>
    <mergeCell ref="U24:U25"/>
    <mergeCell ref="W24:W25"/>
    <mergeCell ref="X24:X25"/>
    <mergeCell ref="Y24:Y25"/>
    <mergeCell ref="P24:P25"/>
    <mergeCell ref="Q24:Q25"/>
    <mergeCell ref="R24:R25"/>
    <mergeCell ref="S24:S25"/>
    <mergeCell ref="T24:T25"/>
    <mergeCell ref="A1:Z1"/>
    <mergeCell ref="A2:Z2"/>
    <mergeCell ref="A4:Z4"/>
    <mergeCell ref="A24:A25"/>
    <mergeCell ref="B24:B25"/>
    <mergeCell ref="C24:C25"/>
    <mergeCell ref="D24:D25"/>
    <mergeCell ref="E24:F24"/>
    <mergeCell ref="G24:G25"/>
    <mergeCell ref="H24:I24"/>
    <mergeCell ref="V24:V25"/>
    <mergeCell ref="J24:J25"/>
    <mergeCell ref="K24:L24"/>
    <mergeCell ref="M24:M25"/>
    <mergeCell ref="N24:N25"/>
    <mergeCell ref="O24:O25"/>
  </mergeCells>
  <pageMargins left="1.299212598425197" right="0.70866141732283472" top="0.74803149606299213" bottom="0.74803149606299213" header="0.31496062992125984" footer="0.31496062992125984"/>
  <pageSetup paperSize="41" scale="41" fitToWidth="2" fitToHeight="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62"/>
  <sheetViews>
    <sheetView view="pageBreakPreview" zoomScale="85" zoomScaleNormal="85" zoomScaleSheetLayoutView="85" workbookViewId="0">
      <selection activeCell="E68" sqref="E68"/>
    </sheetView>
  </sheetViews>
  <sheetFormatPr baseColWidth="10" defaultColWidth="9.140625" defaultRowHeight="15" x14ac:dyDescent="0.25"/>
  <cols>
    <col min="1" max="1" width="4.140625" customWidth="1"/>
    <col min="2" max="2" width="48.7109375" bestFit="1" customWidth="1"/>
    <col min="3" max="3" width="15.5703125" customWidth="1"/>
    <col min="4" max="4" width="16.85546875" customWidth="1"/>
    <col min="5" max="5" width="17.85546875" customWidth="1"/>
    <col min="6" max="6" width="16.85546875" customWidth="1"/>
    <col min="7" max="7" width="17.85546875" customWidth="1"/>
    <col min="8" max="8" width="20.42578125" customWidth="1"/>
    <col min="9" max="9" width="23.140625" customWidth="1"/>
    <col min="10" max="19" width="19.140625" customWidth="1"/>
    <col min="20" max="20" width="17.7109375" customWidth="1"/>
    <col min="21" max="21" width="15" customWidth="1"/>
    <col min="22" max="22" width="3.5703125" customWidth="1"/>
    <col min="23" max="23" width="19.140625" bestFit="1" customWidth="1"/>
    <col min="24" max="26" width="18.5703125" customWidth="1"/>
    <col min="27" max="27" width="18" bestFit="1" customWidth="1"/>
    <col min="28" max="28" width="15.5703125" customWidth="1"/>
    <col min="29" max="29" width="13.140625" style="1" bestFit="1" customWidth="1"/>
  </cols>
  <sheetData>
    <row r="1" spans="2:53" s="2" customFormat="1" ht="81.75" customHeight="1" x14ac:dyDescent="0.25">
      <c r="B1" s="275" t="s">
        <v>143</v>
      </c>
      <c r="C1" s="275"/>
      <c r="D1" s="275"/>
      <c r="E1" s="275"/>
      <c r="F1" s="275"/>
      <c r="G1" s="275"/>
      <c r="H1" s="275"/>
      <c r="I1" s="27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53" s="2" customFormat="1" ht="1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53" s="2" customFormat="1" ht="15" customHeight="1" x14ac:dyDescent="0.25">
      <c r="B3" s="294" t="s">
        <v>147</v>
      </c>
      <c r="C3" s="294"/>
      <c r="D3" s="294"/>
      <c r="E3" s="294"/>
      <c r="F3" s="294"/>
      <c r="G3" s="294"/>
      <c r="H3" s="294"/>
      <c r="I3" s="294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2:53" s="2" customFormat="1" ht="15" customHeight="1" thickBo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7"/>
      <c r="AD4" s="97"/>
    </row>
    <row r="5" spans="2:53" s="2" customFormat="1" ht="15" customHeight="1" thickBot="1" x14ac:dyDescent="0.3">
      <c r="B5" s="19" t="s">
        <v>91</v>
      </c>
      <c r="C5" s="20">
        <v>43405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53" s="2" customFormat="1" ht="15" customHeight="1" thickBot="1" x14ac:dyDescent="0.3">
      <c r="B6" s="21" t="s">
        <v>10</v>
      </c>
      <c r="C6" s="22" t="e">
        <f>#REF!</f>
        <v>#REF!</v>
      </c>
      <c r="D6" s="97"/>
      <c r="E6" s="34" t="s">
        <v>67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</row>
    <row r="7" spans="2:53" s="2" customFormat="1" ht="15.75" customHeight="1" thickBot="1" x14ac:dyDescent="0.3">
      <c r="B7" s="23" t="s">
        <v>11</v>
      </c>
      <c r="C7" s="24" t="e">
        <f>#REF!</f>
        <v>#REF!</v>
      </c>
      <c r="D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2:53" s="2" customFormat="1" ht="15.75" customHeight="1" x14ac:dyDescent="0.25">
      <c r="B8" s="25" t="s">
        <v>65</v>
      </c>
      <c r="C8" s="26" t="e">
        <f>#REF!</f>
        <v>#REF!</v>
      </c>
      <c r="D8" s="97"/>
      <c r="E8" s="286" t="s">
        <v>64</v>
      </c>
      <c r="F8" s="287"/>
      <c r="G8" s="46" t="s">
        <v>78</v>
      </c>
      <c r="H8" s="47" t="s">
        <v>77</v>
      </c>
      <c r="I8" s="48" t="s">
        <v>92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</row>
    <row r="9" spans="2:53" s="2" customFormat="1" ht="15.75" customHeight="1" x14ac:dyDescent="0.25">
      <c r="B9" s="21" t="s">
        <v>66</v>
      </c>
      <c r="C9" s="27" t="e">
        <f>#REF!</f>
        <v>#REF!</v>
      </c>
      <c r="D9" s="97"/>
      <c r="E9" s="282" t="s">
        <v>72</v>
      </c>
      <c r="F9" s="283"/>
      <c r="G9" s="42"/>
      <c r="H9" s="43"/>
      <c r="I9" s="49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</row>
    <row r="10" spans="2:53" s="2" customFormat="1" ht="15.75" customHeight="1" x14ac:dyDescent="0.25">
      <c r="B10" s="21" t="s">
        <v>54</v>
      </c>
      <c r="C10" s="28" t="e">
        <f>#REF!</f>
        <v>#REF!</v>
      </c>
      <c r="D10" s="97"/>
      <c r="E10" s="284" t="s">
        <v>74</v>
      </c>
      <c r="F10" s="285"/>
      <c r="G10" s="16"/>
      <c r="H10" s="17"/>
      <c r="I10" s="93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</row>
    <row r="11" spans="2:53" s="2" customFormat="1" ht="15.75" customHeight="1" x14ac:dyDescent="0.25">
      <c r="B11" s="29" t="s">
        <v>55</v>
      </c>
      <c r="C11" s="30" t="e">
        <f>+C8+C9+C10</f>
        <v>#REF!</v>
      </c>
      <c r="D11" s="97"/>
      <c r="E11" s="284" t="s">
        <v>75</v>
      </c>
      <c r="F11" s="285"/>
      <c r="G11" s="16"/>
      <c r="H11" s="17"/>
      <c r="I11" s="35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</row>
    <row r="12" spans="2:53" s="2" customFormat="1" ht="15.75" customHeight="1" thickBot="1" x14ac:dyDescent="0.3">
      <c r="B12" s="21" t="s">
        <v>68</v>
      </c>
      <c r="C12" s="27" t="e">
        <f>#REF!</f>
        <v>#REF!</v>
      </c>
      <c r="D12" s="97"/>
      <c r="E12" s="290" t="s">
        <v>76</v>
      </c>
      <c r="F12" s="291"/>
      <c r="G12" s="39"/>
      <c r="H12" s="40"/>
      <c r="I12" s="41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</row>
    <row r="13" spans="2:53" s="2" customFormat="1" ht="15.75" customHeight="1" x14ac:dyDescent="0.25">
      <c r="B13" s="21" t="s">
        <v>69</v>
      </c>
      <c r="C13" s="27" t="e">
        <f>#REF!</f>
        <v>#REF!</v>
      </c>
      <c r="D13" s="97"/>
      <c r="E13" s="288" t="s">
        <v>73</v>
      </c>
      <c r="F13" s="289"/>
      <c r="G13" s="44" t="s">
        <v>78</v>
      </c>
      <c r="H13" s="45" t="s">
        <v>77</v>
      </c>
      <c r="I13" s="48" t="s">
        <v>92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</row>
    <row r="14" spans="2:53" s="2" customFormat="1" ht="15.75" customHeight="1" x14ac:dyDescent="0.25">
      <c r="B14" s="21" t="s">
        <v>56</v>
      </c>
      <c r="C14" s="28" t="e">
        <f>#REF!</f>
        <v>#REF!</v>
      </c>
      <c r="D14" s="97"/>
      <c r="E14" s="282" t="s">
        <v>72</v>
      </c>
      <c r="F14" s="283"/>
      <c r="G14" s="42"/>
      <c r="H14" s="43"/>
      <c r="I14" s="49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</row>
    <row r="15" spans="2:53" s="2" customFormat="1" ht="15.75" customHeight="1" x14ac:dyDescent="0.25">
      <c r="B15" s="29" t="s">
        <v>57</v>
      </c>
      <c r="C15" s="30" t="e">
        <f>+C12+C13+C14</f>
        <v>#REF!</v>
      </c>
      <c r="D15" s="97"/>
      <c r="E15" s="284" t="s">
        <v>74</v>
      </c>
      <c r="F15" s="285"/>
      <c r="G15" s="16"/>
      <c r="H15" s="17"/>
      <c r="I15" s="93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</row>
    <row r="16" spans="2:53" s="2" customFormat="1" ht="15.75" customHeight="1" x14ac:dyDescent="0.25">
      <c r="B16" s="21" t="s">
        <v>70</v>
      </c>
      <c r="C16" s="27" t="e">
        <f>#REF!</f>
        <v>#REF!</v>
      </c>
      <c r="D16" s="97"/>
      <c r="E16" s="284" t="s">
        <v>75</v>
      </c>
      <c r="F16" s="285"/>
      <c r="G16" s="16"/>
      <c r="H16" s="16"/>
      <c r="I16" s="35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</row>
    <row r="17" spans="2:53" s="2" customFormat="1" ht="15.75" customHeight="1" thickBot="1" x14ac:dyDescent="0.3">
      <c r="B17" s="21" t="s">
        <v>71</v>
      </c>
      <c r="C17" s="27" t="e">
        <f>#REF!</f>
        <v>#REF!</v>
      </c>
      <c r="D17" s="97"/>
      <c r="E17" s="292" t="s">
        <v>76</v>
      </c>
      <c r="F17" s="293"/>
      <c r="G17" s="36"/>
      <c r="H17" s="37"/>
      <c r="I17" s="38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</row>
    <row r="18" spans="2:53" s="2" customFormat="1" ht="15.75" customHeight="1" x14ac:dyDescent="0.25">
      <c r="B18" s="21" t="s">
        <v>58</v>
      </c>
      <c r="C18" s="28" t="e">
        <f>#REF!</f>
        <v>#REF!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</row>
    <row r="19" spans="2:53" s="2" customFormat="1" ht="15.75" customHeight="1" x14ac:dyDescent="0.25">
      <c r="B19" s="31" t="s">
        <v>59</v>
      </c>
      <c r="C19" s="32" t="e">
        <f>+C16+C17+C18</f>
        <v>#REF!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</row>
    <row r="20" spans="2:53" s="2" customFormat="1" ht="15.75" customHeight="1" thickBot="1" x14ac:dyDescent="0.3">
      <c r="B20" s="33" t="s">
        <v>60</v>
      </c>
      <c r="C20" s="90" t="e">
        <f>+C11+C15+C19</f>
        <v>#REF!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</row>
    <row r="21" spans="2:53" s="2" customFormat="1" ht="15.75" customHeight="1" x14ac:dyDescent="0.25">
      <c r="B21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</row>
    <row r="22" spans="2:53" x14ac:dyDescent="0.25">
      <c r="U22" s="7"/>
      <c r="V22" s="7"/>
      <c r="W22" s="7"/>
      <c r="AC22"/>
    </row>
    <row r="23" spans="2:53" ht="15.75" thickBot="1" x14ac:dyDescent="0.3"/>
    <row r="24" spans="2:53" ht="15.75" customHeight="1" thickBot="1" x14ac:dyDescent="0.3">
      <c r="B24" s="276" t="s">
        <v>4</v>
      </c>
      <c r="C24" s="279" t="s">
        <v>147</v>
      </c>
      <c r="D24" s="280"/>
      <c r="E24" s="280"/>
      <c r="F24" s="280"/>
      <c r="G24" s="280"/>
      <c r="H24" s="280"/>
      <c r="I24" s="281"/>
      <c r="J24" s="4"/>
    </row>
    <row r="25" spans="2:53" ht="38.25" x14ac:dyDescent="0.25">
      <c r="B25" s="277"/>
      <c r="C25" s="12" t="s">
        <v>40</v>
      </c>
      <c r="D25" s="96" t="s">
        <v>41</v>
      </c>
      <c r="E25" s="55" t="s">
        <v>6</v>
      </c>
      <c r="F25" s="56" t="s">
        <v>8</v>
      </c>
      <c r="G25" s="56" t="s">
        <v>9</v>
      </c>
      <c r="H25" s="56" t="s">
        <v>104</v>
      </c>
      <c r="I25" s="57" t="s">
        <v>114</v>
      </c>
      <c r="J25" s="80"/>
    </row>
    <row r="26" spans="2:53" x14ac:dyDescent="0.25">
      <c r="B26" s="58" t="s">
        <v>106</v>
      </c>
      <c r="C26" s="79"/>
      <c r="D26" s="60"/>
      <c r="E26" s="61"/>
      <c r="F26" s="61"/>
      <c r="G26" s="62"/>
      <c r="H26" s="62"/>
      <c r="I26" s="86"/>
      <c r="J26" s="81"/>
    </row>
    <row r="27" spans="2:53" x14ac:dyDescent="0.25">
      <c r="B27" s="13" t="s">
        <v>31</v>
      </c>
      <c r="C27" s="63" t="e">
        <f>#REF!</f>
        <v>#REF!</v>
      </c>
      <c r="D27" s="63">
        <f>[1]DETALLE!F64</f>
        <v>0</v>
      </c>
      <c r="E27" s="63" t="e">
        <f t="shared" ref="E27:E32" si="0">C27+D27</f>
        <v>#REF!</v>
      </c>
      <c r="F27" s="63" t="e">
        <f>#REF!-165816000-140695000</f>
        <v>#REF!</v>
      </c>
      <c r="G27" s="64" t="e">
        <f>E27-F27</f>
        <v>#REF!</v>
      </c>
      <c r="H27" s="64" t="e">
        <f>#REF!-22070000</f>
        <v>#REF!</v>
      </c>
      <c r="I27" s="76" t="e">
        <f>+F27-H27</f>
        <v>#REF!</v>
      </c>
      <c r="J27" s="82"/>
    </row>
    <row r="28" spans="2:53" x14ac:dyDescent="0.25">
      <c r="B28" s="13" t="s">
        <v>62</v>
      </c>
      <c r="C28" s="63" t="e">
        <f>#REF!</f>
        <v>#REF!</v>
      </c>
      <c r="D28" s="63">
        <f>[1]DETALLE!F69</f>
        <v>0</v>
      </c>
      <c r="E28" s="63" t="e">
        <f t="shared" si="0"/>
        <v>#REF!</v>
      </c>
      <c r="F28" s="63" t="e">
        <f>#REF!</f>
        <v>#REF!</v>
      </c>
      <c r="G28" s="64" t="e">
        <f>E28-F28</f>
        <v>#REF!</v>
      </c>
      <c r="H28" s="64" t="e">
        <f>#REF!-14233104</f>
        <v>#REF!</v>
      </c>
      <c r="I28" s="76" t="e">
        <f t="shared" ref="I28:I32" si="1">+F28-H28</f>
        <v>#REF!</v>
      </c>
      <c r="J28" s="82"/>
    </row>
    <row r="29" spans="2:53" x14ac:dyDescent="0.25">
      <c r="B29" s="13" t="s">
        <v>63</v>
      </c>
      <c r="C29" s="63" t="e">
        <f>#REF!</f>
        <v>#REF!</v>
      </c>
      <c r="D29" s="63" t="e">
        <f>#REF!</f>
        <v>#REF!</v>
      </c>
      <c r="E29" s="63" t="e">
        <f t="shared" si="0"/>
        <v>#REF!</v>
      </c>
      <c r="F29" s="63" t="e">
        <f>#REF!</f>
        <v>#REF!</v>
      </c>
      <c r="G29" s="64" t="e">
        <f t="shared" ref="G29" si="2">E29-F29</f>
        <v>#REF!</v>
      </c>
      <c r="H29" s="64" t="e">
        <f>#REF!-11098000</f>
        <v>#REF!</v>
      </c>
      <c r="I29" s="76" t="e">
        <f t="shared" si="1"/>
        <v>#REF!</v>
      </c>
      <c r="J29" s="82"/>
    </row>
    <row r="30" spans="2:53" x14ac:dyDescent="0.25">
      <c r="B30" s="13" t="s">
        <v>27</v>
      </c>
      <c r="C30" s="63" t="e">
        <f>#REF!</f>
        <v>#REF!</v>
      </c>
      <c r="D30" s="63">
        <f>[1]DETALLE!F77</f>
        <v>0</v>
      </c>
      <c r="E30" s="63" t="e">
        <f t="shared" si="0"/>
        <v>#REF!</v>
      </c>
      <c r="F30" s="63" t="e">
        <f>#REF!-47313455-150000000</f>
        <v>#REF!</v>
      </c>
      <c r="G30" s="64" t="e">
        <f>E30-F30</f>
        <v>#REF!</v>
      </c>
      <c r="H30" s="64" t="e">
        <f>#REF!</f>
        <v>#REF!</v>
      </c>
      <c r="I30" s="76" t="e">
        <f t="shared" si="1"/>
        <v>#REF!</v>
      </c>
      <c r="J30" s="82"/>
    </row>
    <row r="31" spans="2:53" x14ac:dyDescent="0.25">
      <c r="B31" s="13" t="s">
        <v>23</v>
      </c>
      <c r="C31" s="63" t="e">
        <f>#REF!</f>
        <v>#REF!</v>
      </c>
      <c r="D31" s="63">
        <f>[1]DETALLE!F80</f>
        <v>0</v>
      </c>
      <c r="E31" s="63" t="e">
        <f t="shared" si="0"/>
        <v>#REF!</v>
      </c>
      <c r="F31" s="63" t="e">
        <f>#REF!-34000000</f>
        <v>#REF!</v>
      </c>
      <c r="G31" s="64" t="e">
        <f>E31-F31</f>
        <v>#REF!</v>
      </c>
      <c r="H31" s="64" t="e">
        <f>#REF!</f>
        <v>#REF!</v>
      </c>
      <c r="I31" s="76" t="e">
        <f t="shared" si="1"/>
        <v>#REF!</v>
      </c>
      <c r="J31" s="82"/>
    </row>
    <row r="32" spans="2:53" ht="15.75" thickBot="1" x14ac:dyDescent="0.3">
      <c r="B32" s="14" t="s">
        <v>15</v>
      </c>
      <c r="C32" s="63" t="e">
        <f>#REF!+#REF!</f>
        <v>#REF!</v>
      </c>
      <c r="D32" s="63">
        <f>[1]DETALLE!F83</f>
        <v>0</v>
      </c>
      <c r="E32" s="63" t="e">
        <f t="shared" si="0"/>
        <v>#REF!</v>
      </c>
      <c r="F32" s="63" t="e">
        <f>#REF!+22442615</f>
        <v>#REF!</v>
      </c>
      <c r="G32" s="64" t="e">
        <f>#REF!</f>
        <v>#REF!</v>
      </c>
      <c r="H32" s="64" t="e">
        <f>#REF!-111860</f>
        <v>#REF!</v>
      </c>
      <c r="I32" s="76" t="e">
        <f t="shared" si="1"/>
        <v>#REF!</v>
      </c>
      <c r="J32" s="82"/>
    </row>
    <row r="33" spans="2:11" ht="16.5" thickTop="1" thickBot="1" x14ac:dyDescent="0.3">
      <c r="B33" s="65" t="s">
        <v>107</v>
      </c>
      <c r="C33" s="66" t="e">
        <f>SUM(C27:C32)</f>
        <v>#REF!</v>
      </c>
      <c r="D33" s="66" t="e">
        <f>SUM(D27:D32)</f>
        <v>#REF!</v>
      </c>
      <c r="E33" s="66" t="e">
        <f>SUM(E27:E32)</f>
        <v>#REF!</v>
      </c>
      <c r="F33" s="66" t="e">
        <f>SUM(F27:F32)</f>
        <v>#REF!</v>
      </c>
      <c r="G33" s="67" t="e">
        <f t="shared" ref="G33" si="3">SUM(G27:G32)</f>
        <v>#REF!</v>
      </c>
      <c r="H33" s="67" t="e">
        <f>SUM(H27:H32)</f>
        <v>#REF!</v>
      </c>
      <c r="I33" s="87" t="e">
        <f>SUM(I27:I32)</f>
        <v>#REF!</v>
      </c>
      <c r="J33" s="83"/>
      <c r="K33" s="8" t="e">
        <f>+C33-#REF!</f>
        <v>#REF!</v>
      </c>
    </row>
    <row r="34" spans="2:11" ht="15.75" thickTop="1" x14ac:dyDescent="0.25">
      <c r="B34" s="68"/>
      <c r="C34" s="69"/>
      <c r="D34" s="70"/>
      <c r="E34" s="70"/>
      <c r="F34" s="70"/>
      <c r="G34" s="71"/>
      <c r="H34" s="71"/>
      <c r="I34" s="88"/>
      <c r="J34" s="82"/>
    </row>
    <row r="35" spans="2:11" x14ac:dyDescent="0.25">
      <c r="B35" s="58" t="s">
        <v>108</v>
      </c>
      <c r="C35" s="79"/>
      <c r="D35" s="60"/>
      <c r="E35" s="61"/>
      <c r="F35" s="61"/>
      <c r="G35" s="62"/>
      <c r="H35" s="62"/>
      <c r="I35" s="86"/>
      <c r="J35" s="82"/>
    </row>
    <row r="36" spans="2:11" x14ac:dyDescent="0.25">
      <c r="B36" s="13" t="s">
        <v>31</v>
      </c>
      <c r="C36" s="63" t="e">
        <f>+#REF!</f>
        <v>#REF!</v>
      </c>
      <c r="D36" s="63" t="e">
        <f>+#REF!</f>
        <v>#REF!</v>
      </c>
      <c r="E36" s="63" t="e">
        <f>C36+D36</f>
        <v>#REF!</v>
      </c>
      <c r="F36" s="63" t="e">
        <f>#REF!+140695000</f>
        <v>#REF!</v>
      </c>
      <c r="G36" s="64" t="e">
        <f t="shared" ref="G36:G40" si="4">E36-F36</f>
        <v>#REF!</v>
      </c>
      <c r="H36" s="64" t="e">
        <f>#REF!</f>
        <v>#REF!</v>
      </c>
      <c r="I36" s="76" t="e">
        <f>+F36-H36</f>
        <v>#REF!</v>
      </c>
      <c r="J36" s="82"/>
    </row>
    <row r="37" spans="2:11" x14ac:dyDescent="0.25">
      <c r="B37" s="13" t="s">
        <v>62</v>
      </c>
      <c r="C37" s="63" t="e">
        <f>#REF!</f>
        <v>#REF!</v>
      </c>
      <c r="D37" s="63">
        <f>[1]DETALLE!F78</f>
        <v>0</v>
      </c>
      <c r="E37" s="63" t="e">
        <f t="shared" ref="E37:E41" si="5">C37+D37</f>
        <v>#REF!</v>
      </c>
      <c r="F37" s="63" t="e">
        <f>#REF!</f>
        <v>#REF!</v>
      </c>
      <c r="G37" s="64" t="e">
        <f>E37-F37</f>
        <v>#REF!</v>
      </c>
      <c r="H37" s="64" t="e">
        <f>#REF!-908496</f>
        <v>#REF!</v>
      </c>
      <c r="I37" s="76" t="e">
        <f t="shared" ref="I37:I41" si="6">+F37-H37</f>
        <v>#REF!</v>
      </c>
      <c r="J37" s="82"/>
    </row>
    <row r="38" spans="2:11" x14ac:dyDescent="0.25">
      <c r="B38" s="13" t="s">
        <v>63</v>
      </c>
      <c r="C38" s="63" t="e">
        <f>#REF!</f>
        <v>#REF!</v>
      </c>
      <c r="D38" s="63" t="e">
        <f>#REF!</f>
        <v>#REF!</v>
      </c>
      <c r="E38" s="63" t="e">
        <f t="shared" si="5"/>
        <v>#REF!</v>
      </c>
      <c r="F38" s="63" t="e">
        <f>#REF!</f>
        <v>#REF!</v>
      </c>
      <c r="G38" s="64" t="e">
        <f t="shared" si="4"/>
        <v>#REF!</v>
      </c>
      <c r="H38" s="64" t="e">
        <f>#REF!</f>
        <v>#REF!</v>
      </c>
      <c r="I38" s="76" t="e">
        <f t="shared" si="6"/>
        <v>#REF!</v>
      </c>
      <c r="J38" s="82"/>
    </row>
    <row r="39" spans="2:11" x14ac:dyDescent="0.25">
      <c r="B39" s="13" t="s">
        <v>27</v>
      </c>
      <c r="C39" s="63" t="e">
        <f>+#REF!</f>
        <v>#REF!</v>
      </c>
      <c r="D39" s="63" t="e">
        <f>+#REF!</f>
        <v>#REF!</v>
      </c>
      <c r="E39" s="63" t="e">
        <f>C39+D39</f>
        <v>#REF!</v>
      </c>
      <c r="F39" s="63" t="e">
        <f>#REF!+47313455+150000000</f>
        <v>#REF!</v>
      </c>
      <c r="G39" s="64" t="e">
        <f t="shared" si="4"/>
        <v>#REF!</v>
      </c>
      <c r="H39" s="64" t="e">
        <f>#REF!</f>
        <v>#REF!</v>
      </c>
      <c r="I39" s="76" t="e">
        <f t="shared" si="6"/>
        <v>#REF!</v>
      </c>
      <c r="J39" s="82"/>
    </row>
    <row r="40" spans="2:11" x14ac:dyDescent="0.25">
      <c r="B40" s="13" t="s">
        <v>23</v>
      </c>
      <c r="C40" s="63" t="e">
        <f>#REF!</f>
        <v>#REF!</v>
      </c>
      <c r="D40" s="63" t="e">
        <f>#REF!</f>
        <v>#REF!</v>
      </c>
      <c r="E40" s="63" t="e">
        <f t="shared" si="5"/>
        <v>#REF!</v>
      </c>
      <c r="F40" s="63" t="e">
        <f>#REF!</f>
        <v>#REF!</v>
      </c>
      <c r="G40" s="64" t="e">
        <f t="shared" si="4"/>
        <v>#REF!</v>
      </c>
      <c r="H40" s="64" t="e">
        <f>#REF!</f>
        <v>#REF!</v>
      </c>
      <c r="I40" s="76" t="e">
        <f t="shared" si="6"/>
        <v>#REF!</v>
      </c>
      <c r="J40" s="82"/>
    </row>
    <row r="41" spans="2:11" ht="15.75" thickBot="1" x14ac:dyDescent="0.3">
      <c r="B41" s="14" t="s">
        <v>15</v>
      </c>
      <c r="C41" s="63" t="e">
        <f>#REF!</f>
        <v>#REF!</v>
      </c>
      <c r="D41" s="63">
        <f>[1]DETALLE!F92</f>
        <v>0</v>
      </c>
      <c r="E41" s="63" t="e">
        <f t="shared" si="5"/>
        <v>#REF!</v>
      </c>
      <c r="F41" s="63" t="e">
        <f>#REF!</f>
        <v>#REF!</v>
      </c>
      <c r="G41" s="64" t="e">
        <f>E41-F41</f>
        <v>#REF!</v>
      </c>
      <c r="H41" s="64" t="e">
        <f>#REF!-7140</f>
        <v>#REF!</v>
      </c>
      <c r="I41" s="76" t="e">
        <f t="shared" si="6"/>
        <v>#REF!</v>
      </c>
      <c r="J41" s="82"/>
    </row>
    <row r="42" spans="2:11" ht="16.5" thickTop="1" thickBot="1" x14ac:dyDescent="0.3">
      <c r="B42" s="65" t="s">
        <v>109</v>
      </c>
      <c r="C42" s="66" t="e">
        <f>SUM(C36:C41)</f>
        <v>#REF!</v>
      </c>
      <c r="D42" s="66" t="e">
        <f>SUM(D36:D41)</f>
        <v>#REF!</v>
      </c>
      <c r="E42" s="66" t="e">
        <f>SUM(E36:E41)</f>
        <v>#REF!</v>
      </c>
      <c r="F42" s="66" t="e">
        <f>SUM(F36:F41)</f>
        <v>#REF!</v>
      </c>
      <c r="G42" s="67" t="e">
        <f t="shared" ref="G42:I42" si="7">SUM(G36:G41)</f>
        <v>#REF!</v>
      </c>
      <c r="H42" s="67" t="e">
        <f>SUM(H36:H41)</f>
        <v>#REF!</v>
      </c>
      <c r="I42" s="87" t="e">
        <f t="shared" si="7"/>
        <v>#REF!</v>
      </c>
      <c r="J42" s="82"/>
    </row>
    <row r="43" spans="2:11" ht="15.75" thickTop="1" x14ac:dyDescent="0.25">
      <c r="B43" s="68"/>
      <c r="C43" s="69"/>
      <c r="D43" s="70"/>
      <c r="E43" s="70"/>
      <c r="F43" s="70"/>
      <c r="G43" s="71"/>
      <c r="H43" s="71"/>
      <c r="I43" s="88"/>
      <c r="J43" s="82"/>
    </row>
    <row r="44" spans="2:11" x14ac:dyDescent="0.25">
      <c r="B44" s="72" t="s">
        <v>105</v>
      </c>
      <c r="C44" s="59"/>
      <c r="D44" s="73"/>
      <c r="E44" s="74"/>
      <c r="F44" s="74"/>
      <c r="G44" s="75"/>
      <c r="H44" s="75"/>
      <c r="I44" s="89"/>
      <c r="J44" s="81"/>
    </row>
    <row r="45" spans="2:11" x14ac:dyDescent="0.25">
      <c r="B45" s="13" t="s">
        <v>31</v>
      </c>
      <c r="C45" s="63" t="e">
        <f>+#REF!</f>
        <v>#REF!</v>
      </c>
      <c r="D45" s="63"/>
      <c r="E45" s="63" t="e">
        <f t="shared" ref="E45:E48" si="8">C45+D45</f>
        <v>#REF!</v>
      </c>
      <c r="F45" s="63">
        <v>81810000</v>
      </c>
      <c r="G45" s="64" t="e">
        <f t="shared" ref="G45:G49" si="9">E45-F45</f>
        <v>#REF!</v>
      </c>
      <c r="H45" s="64" t="e">
        <f>#REF!</f>
        <v>#REF!</v>
      </c>
      <c r="I45" s="76" t="e">
        <f>+F45-H45</f>
        <v>#REF!</v>
      </c>
      <c r="J45" s="82"/>
    </row>
    <row r="46" spans="2:11" x14ac:dyDescent="0.25">
      <c r="B46" s="13" t="s">
        <v>62</v>
      </c>
      <c r="C46" s="63"/>
      <c r="D46" s="63"/>
      <c r="E46" s="63">
        <f t="shared" si="8"/>
        <v>0</v>
      </c>
      <c r="F46" s="63"/>
      <c r="G46" s="64">
        <f t="shared" si="9"/>
        <v>0</v>
      </c>
      <c r="H46" s="64" t="e">
        <f>#REF!</f>
        <v>#REF!</v>
      </c>
      <c r="I46" s="76" t="e">
        <f t="shared" ref="I46" si="10">+F46-H46</f>
        <v>#REF!</v>
      </c>
      <c r="J46" s="82"/>
    </row>
    <row r="47" spans="2:11" x14ac:dyDescent="0.25">
      <c r="B47" s="13" t="s">
        <v>63</v>
      </c>
      <c r="C47" s="63"/>
      <c r="D47" s="63" t="e">
        <f>+#REF!</f>
        <v>#REF!</v>
      </c>
      <c r="E47" s="63" t="e">
        <f t="shared" si="8"/>
        <v>#REF!</v>
      </c>
      <c r="F47" s="63">
        <v>2900000</v>
      </c>
      <c r="G47" s="64" t="e">
        <f t="shared" si="9"/>
        <v>#REF!</v>
      </c>
      <c r="H47" s="64"/>
      <c r="I47" s="76">
        <f>+F47-H47</f>
        <v>2900000</v>
      </c>
      <c r="J47" s="82"/>
    </row>
    <row r="48" spans="2:11" x14ac:dyDescent="0.25">
      <c r="B48" s="13" t="s">
        <v>27</v>
      </c>
      <c r="C48" s="63" t="e">
        <f>#REF!</f>
        <v>#REF!</v>
      </c>
      <c r="D48" s="63" t="e">
        <f>#REF!</f>
        <v>#REF!</v>
      </c>
      <c r="E48" s="63" t="e">
        <f t="shared" si="8"/>
        <v>#REF!</v>
      </c>
      <c r="F48" s="63" t="e">
        <f>#REF!</f>
        <v>#REF!</v>
      </c>
      <c r="G48" s="64" t="e">
        <f t="shared" si="9"/>
        <v>#REF!</v>
      </c>
      <c r="H48" s="64" t="e">
        <f>#REF!</f>
        <v>#REF!</v>
      </c>
      <c r="I48" s="76" t="e">
        <f>+F48-H48</f>
        <v>#REF!</v>
      </c>
      <c r="J48" s="82"/>
    </row>
    <row r="49" spans="2:11" x14ac:dyDescent="0.25">
      <c r="B49" s="13" t="s">
        <v>23</v>
      </c>
      <c r="C49" s="63"/>
      <c r="D49" s="63" t="e">
        <f>+#REF!</f>
        <v>#REF!</v>
      </c>
      <c r="E49" s="63" t="e">
        <f>C49+D49</f>
        <v>#REF!</v>
      </c>
      <c r="F49" s="63">
        <v>34000000</v>
      </c>
      <c r="G49" s="64" t="e">
        <f t="shared" si="9"/>
        <v>#REF!</v>
      </c>
      <c r="H49" s="64"/>
      <c r="I49" s="76">
        <f>+F49-H49</f>
        <v>34000000</v>
      </c>
      <c r="J49" s="82"/>
    </row>
    <row r="50" spans="2:11" ht="15.75" thickBot="1" x14ac:dyDescent="0.3">
      <c r="B50" s="14" t="s">
        <v>15</v>
      </c>
      <c r="C50" s="63" t="e">
        <f>#REF!</f>
        <v>#REF!</v>
      </c>
      <c r="D50" s="63" t="e">
        <f>#REF!</f>
        <v>#REF!</v>
      </c>
      <c r="E50" s="63" t="e">
        <f>C50+D50</f>
        <v>#REF!</v>
      </c>
      <c r="F50" s="63" t="e">
        <f>#REF!+2718781597-525757817</f>
        <v>#REF!</v>
      </c>
      <c r="G50" s="64" t="e">
        <f>E50-F50</f>
        <v>#REF!</v>
      </c>
      <c r="H50" s="64" t="e">
        <f>+#REF!+#REF!-268878909</f>
        <v>#REF!</v>
      </c>
      <c r="I50" s="76" t="e">
        <f>+F50-H50</f>
        <v>#REF!</v>
      </c>
      <c r="J50" s="82"/>
    </row>
    <row r="51" spans="2:11" ht="16.5" thickTop="1" thickBot="1" x14ac:dyDescent="0.3">
      <c r="B51" s="65" t="s">
        <v>113</v>
      </c>
      <c r="C51" s="66" t="e">
        <f>SUM(C45:C50)</f>
        <v>#REF!</v>
      </c>
      <c r="D51" s="66" t="e">
        <f>SUM(D45:D50)</f>
        <v>#REF!</v>
      </c>
      <c r="E51" s="66" t="e">
        <f t="shared" ref="E51:I51" si="11">SUM(E45:E50)</f>
        <v>#REF!</v>
      </c>
      <c r="F51" s="66" t="e">
        <f>SUM(F45:F50)</f>
        <v>#REF!</v>
      </c>
      <c r="G51" s="67" t="e">
        <f>SUM(G45:G50)</f>
        <v>#REF!</v>
      </c>
      <c r="H51" s="67" t="e">
        <f t="shared" si="11"/>
        <v>#REF!</v>
      </c>
      <c r="I51" s="87" t="e">
        <f t="shared" si="11"/>
        <v>#REF!</v>
      </c>
      <c r="J51" s="82"/>
    </row>
    <row r="52" spans="2:11" ht="16.5" thickTop="1" thickBot="1" x14ac:dyDescent="0.3">
      <c r="B52" s="77" t="s">
        <v>2</v>
      </c>
      <c r="C52" s="91" t="e">
        <f t="shared" ref="C52:I52" si="12">C33+C42+C51</f>
        <v>#REF!</v>
      </c>
      <c r="D52" s="91" t="e">
        <f t="shared" si="12"/>
        <v>#REF!</v>
      </c>
      <c r="E52" s="91" t="e">
        <f t="shared" si="12"/>
        <v>#REF!</v>
      </c>
      <c r="F52" s="91" t="e">
        <f t="shared" si="12"/>
        <v>#REF!</v>
      </c>
      <c r="G52" s="91" t="e">
        <f t="shared" si="12"/>
        <v>#REF!</v>
      </c>
      <c r="H52" s="91" t="e">
        <f t="shared" si="12"/>
        <v>#REF!</v>
      </c>
      <c r="I52" s="92" t="e">
        <f t="shared" si="12"/>
        <v>#REF!</v>
      </c>
      <c r="J52" s="84"/>
      <c r="K52" s="8"/>
    </row>
    <row r="53" spans="2:11" x14ac:dyDescent="0.25">
      <c r="B53" s="278" t="s">
        <v>13</v>
      </c>
      <c r="C53" s="278"/>
      <c r="D53" s="278"/>
      <c r="E53" s="278"/>
      <c r="F53" s="78" t="e">
        <f>F52/$E$52</f>
        <v>#REF!</v>
      </c>
      <c r="G53" s="78" t="e">
        <f>G52/$E$52</f>
        <v>#REF!</v>
      </c>
      <c r="H53" s="78" t="e">
        <f>H52/$E$52</f>
        <v>#REF!</v>
      </c>
      <c r="I53" s="78" t="e">
        <f>I52/$E$52</f>
        <v>#REF!</v>
      </c>
      <c r="J53" s="85"/>
      <c r="K53" s="8"/>
    </row>
    <row r="54" spans="2:11" x14ac:dyDescent="0.25">
      <c r="D54" s="78"/>
      <c r="I54" s="8"/>
      <c r="K54" s="8">
        <f>+K52-K53</f>
        <v>0</v>
      </c>
    </row>
    <row r="55" spans="2:11" x14ac:dyDescent="0.25">
      <c r="B55" t="s">
        <v>17</v>
      </c>
      <c r="D55" t="s">
        <v>16</v>
      </c>
      <c r="H55" t="s">
        <v>7</v>
      </c>
      <c r="I55" s="8"/>
      <c r="K55" s="8"/>
    </row>
    <row r="56" spans="2:11" x14ac:dyDescent="0.25">
      <c r="K56" s="8"/>
    </row>
    <row r="58" spans="2:11" x14ac:dyDescent="0.25">
      <c r="K58" s="8"/>
    </row>
    <row r="59" spans="2:11" x14ac:dyDescent="0.25">
      <c r="B59" s="6"/>
      <c r="D59" s="6"/>
      <c r="E59" s="6"/>
      <c r="F59" s="6"/>
      <c r="H59" s="6"/>
      <c r="I59" s="6"/>
      <c r="K59" s="8"/>
    </row>
    <row r="60" spans="2:11" x14ac:dyDescent="0.25">
      <c r="B60" s="5" t="s">
        <v>144</v>
      </c>
      <c r="D60" s="5" t="s">
        <v>93</v>
      </c>
      <c r="H60" s="5" t="s">
        <v>18</v>
      </c>
      <c r="K60" s="8"/>
    </row>
    <row r="61" spans="2:11" x14ac:dyDescent="0.25">
      <c r="B61" t="s">
        <v>146</v>
      </c>
      <c r="D61" t="s">
        <v>145</v>
      </c>
      <c r="H61" t="s">
        <v>19</v>
      </c>
    </row>
    <row r="62" spans="2:11" x14ac:dyDescent="0.25">
      <c r="B62" t="s">
        <v>14</v>
      </c>
      <c r="D62" t="s">
        <v>14</v>
      </c>
      <c r="H62" t="s">
        <v>112</v>
      </c>
    </row>
  </sheetData>
  <mergeCells count="15">
    <mergeCell ref="E11:F11"/>
    <mergeCell ref="B1:I1"/>
    <mergeCell ref="B3:I3"/>
    <mergeCell ref="E8:F8"/>
    <mergeCell ref="E9:F9"/>
    <mergeCell ref="E10:F10"/>
    <mergeCell ref="B24:B25"/>
    <mergeCell ref="C24:I24"/>
    <mergeCell ref="B53:E53"/>
    <mergeCell ref="E12:F12"/>
    <mergeCell ref="E13:F13"/>
    <mergeCell ref="E14:F14"/>
    <mergeCell ref="E15:F15"/>
    <mergeCell ref="E16:F16"/>
    <mergeCell ref="E17:F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9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INFORME GENERAL</vt:lpstr>
      <vt:lpstr>DETALLE MARZO</vt:lpstr>
      <vt:lpstr>INFORME GENERAL (2)</vt:lpstr>
      <vt:lpstr>'DETALLE MARZO'!Área_de_impresión</vt:lpstr>
      <vt:lpstr>'INFORME GENERAL'!Área_de_impresión</vt:lpstr>
      <vt:lpstr>'INFORME GENERAL (2)'!Área_de_impresión</vt:lpstr>
      <vt:lpstr>'DETALLE MARZO'!Títulos_a_imprimir</vt:lpstr>
    </vt:vector>
  </TitlesOfParts>
  <Company>idipron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Paolav</dc:creator>
  <cp:lastModifiedBy>JOHN.FERNANDEZ</cp:lastModifiedBy>
  <cp:lastPrinted>2019-04-26T20:55:14Z</cp:lastPrinted>
  <dcterms:created xsi:type="dcterms:W3CDTF">2016-05-20T20:35:50Z</dcterms:created>
  <dcterms:modified xsi:type="dcterms:W3CDTF">2019-07-19T16:41:51Z</dcterms:modified>
</cp:coreProperties>
</file>