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.fernandez\Documents\031 SECOP\informes convenio 0312018\Informes  2018 312018\Informes   TOTALES 2018 312018\6 ABRIL 2019\"/>
    </mc:Choice>
  </mc:AlternateContent>
  <xr:revisionPtr revIDLastSave="0" documentId="8_{7753BBF7-ADAD-42DD-A39A-7FD0A4F8A9BF}" xr6:coauthVersionLast="36" xr6:coauthVersionMax="36" xr10:uidLastSave="{00000000-0000-0000-0000-000000000000}"/>
  <bookViews>
    <workbookView xWindow="0" yWindow="0" windowWidth="20490" windowHeight="5445" activeTab="1" xr2:uid="{00000000-000D-0000-FFFF-FFFF00000000}"/>
  </bookViews>
  <sheets>
    <sheet name="INFORME GENERAL" sheetId="3" r:id="rId1"/>
    <sheet name="DETALLE ABRIL" sheetId="5" r:id="rId2"/>
    <sheet name="INFORME GENERAL (2)" sheetId="4" state="hidden" r:id="rId3"/>
  </sheets>
  <externalReferences>
    <externalReference r:id="rId4"/>
  </externalReferences>
  <definedNames>
    <definedName name="_xlnm.Print_Area" localSheetId="1">'DETALLE ABRIL'!$A$1:$Z$220</definedName>
    <definedName name="_xlnm.Print_Area" localSheetId="0">'INFORME GENERAL'!$A$1:$H$64</definedName>
    <definedName name="_xlnm.Print_Area" localSheetId="2">'INFORME GENERAL (2)'!$A$1:$I$63</definedName>
    <definedName name="_xlnm.Print_Titles" localSheetId="1">'DETALLE ABRIL'!$24:$25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51" i="5" l="1"/>
  <c r="V50" i="5"/>
  <c r="V113" i="5"/>
  <c r="V104" i="5"/>
  <c r="Y104" i="5" s="1"/>
  <c r="Y174" i="5"/>
  <c r="Z174" i="5" s="1"/>
  <c r="O183" i="5"/>
  <c r="Y112" i="5"/>
  <c r="Z112" i="5" s="1"/>
  <c r="U113" i="5"/>
  <c r="N104" i="5"/>
  <c r="V190" i="5"/>
  <c r="V138" i="5"/>
  <c r="V133" i="5"/>
  <c r="V27" i="5"/>
  <c r="Y122" i="5"/>
  <c r="Y110" i="5"/>
  <c r="O110" i="5" s="1"/>
  <c r="Y109" i="5"/>
  <c r="E73" i="5"/>
  <c r="Y113" i="5" l="1"/>
  <c r="V157" i="5"/>
  <c r="V158" i="5"/>
  <c r="V159" i="5"/>
  <c r="V160" i="5"/>
  <c r="V161" i="5"/>
  <c r="V162" i="5"/>
  <c r="V163" i="5"/>
  <c r="V156" i="5"/>
  <c r="V151" i="5"/>
  <c r="V152" i="5"/>
  <c r="V153" i="5"/>
  <c r="V150" i="5"/>
  <c r="V141" i="5"/>
  <c r="V187" i="5"/>
  <c r="V128" i="5"/>
  <c r="V149" i="5" l="1"/>
  <c r="V155" i="5"/>
  <c r="Y38" i="5"/>
  <c r="Z38" i="5" s="1"/>
  <c r="Y39" i="5"/>
  <c r="Y40" i="5"/>
  <c r="V36" i="5"/>
  <c r="E38" i="5"/>
  <c r="V176" i="5"/>
  <c r="V116" i="5"/>
  <c r="V125" i="5" s="1"/>
  <c r="V94" i="5"/>
  <c r="V95" i="5"/>
  <c r="V96" i="5"/>
  <c r="V97" i="5"/>
  <c r="V98" i="5"/>
  <c r="V99" i="5"/>
  <c r="V100" i="5"/>
  <c r="V93" i="5"/>
  <c r="V90" i="5"/>
  <c r="V89" i="5"/>
  <c r="V88" i="5"/>
  <c r="V87" i="5"/>
  <c r="V86" i="5" s="1"/>
  <c r="V48" i="5"/>
  <c r="V146" i="5"/>
  <c r="V143" i="5" s="1"/>
  <c r="V147" i="5"/>
  <c r="V145" i="5"/>
  <c r="V45" i="5"/>
  <c r="V46" i="5"/>
  <c r="V44" i="5"/>
  <c r="V42" i="5" s="1"/>
  <c r="X36" i="5"/>
  <c r="W36" i="5"/>
  <c r="U176" i="5"/>
  <c r="U183" i="5" s="1"/>
  <c r="U116" i="5"/>
  <c r="H43" i="3"/>
  <c r="H45" i="3"/>
  <c r="H37" i="3"/>
  <c r="X194" i="5"/>
  <c r="W194" i="5"/>
  <c r="V194" i="5"/>
  <c r="U194" i="5"/>
  <c r="T194" i="5"/>
  <c r="S194" i="5"/>
  <c r="R194" i="5"/>
  <c r="X191" i="5"/>
  <c r="W191" i="5"/>
  <c r="V191" i="5"/>
  <c r="U191" i="5"/>
  <c r="T191" i="5"/>
  <c r="R189" i="5"/>
  <c r="Q189" i="5"/>
  <c r="Z175" i="5"/>
  <c r="X183" i="5"/>
  <c r="W183" i="5"/>
  <c r="V183" i="5"/>
  <c r="S183" i="5"/>
  <c r="R183" i="5"/>
  <c r="Q183" i="5"/>
  <c r="X155" i="5"/>
  <c r="W155" i="5"/>
  <c r="S155" i="5"/>
  <c r="R155" i="5"/>
  <c r="Q155" i="5"/>
  <c r="X143" i="5"/>
  <c r="W143" i="5"/>
  <c r="Y33" i="5"/>
  <c r="Z33" i="5" s="1"/>
  <c r="Y32" i="5"/>
  <c r="O31" i="5"/>
  <c r="V140" i="5"/>
  <c r="W140" i="5"/>
  <c r="X140" i="5"/>
  <c r="V139" i="5"/>
  <c r="W139" i="5"/>
  <c r="X139" i="5"/>
  <c r="T135" i="5"/>
  <c r="V135" i="5"/>
  <c r="W135" i="5"/>
  <c r="X135" i="5"/>
  <c r="Y131" i="5"/>
  <c r="Z131" i="5" s="1"/>
  <c r="R132" i="5"/>
  <c r="S132" i="5"/>
  <c r="T132" i="5"/>
  <c r="U132" i="5"/>
  <c r="V132" i="5"/>
  <c r="W132" i="5"/>
  <c r="X132" i="5"/>
  <c r="Q132" i="5"/>
  <c r="O132" i="5"/>
  <c r="Y127" i="5"/>
  <c r="Z127" i="5" s="1"/>
  <c r="X129" i="5"/>
  <c r="W129" i="5"/>
  <c r="V129" i="5"/>
  <c r="R129" i="5"/>
  <c r="Q129" i="5"/>
  <c r="O129" i="5"/>
  <c r="Z106" i="5"/>
  <c r="Z110" i="5"/>
  <c r="Y105" i="5"/>
  <c r="Y106" i="5"/>
  <c r="Y107" i="5"/>
  <c r="Z107" i="5" s="1"/>
  <c r="Y108" i="5"/>
  <c r="Z108" i="5" s="1"/>
  <c r="Y111" i="5"/>
  <c r="Y114" i="5"/>
  <c r="Z114" i="5" s="1"/>
  <c r="Y115" i="5"/>
  <c r="Z115" i="5" s="1"/>
  <c r="Y117" i="5"/>
  <c r="Z117" i="5" s="1"/>
  <c r="Y118" i="5"/>
  <c r="Z118" i="5" s="1"/>
  <c r="Y119" i="5"/>
  <c r="Z119" i="5" s="1"/>
  <c r="Y120" i="5"/>
  <c r="Z120" i="5" s="1"/>
  <c r="Y121" i="5"/>
  <c r="Z121" i="5" s="1"/>
  <c r="Y123" i="5"/>
  <c r="Z123" i="5" s="1"/>
  <c r="Y124" i="5"/>
  <c r="Z124" i="5" s="1"/>
  <c r="R125" i="5"/>
  <c r="S125" i="5"/>
  <c r="W125" i="5"/>
  <c r="X125" i="5"/>
  <c r="R92" i="5"/>
  <c r="S92" i="5"/>
  <c r="W92" i="5"/>
  <c r="X92" i="5"/>
  <c r="Q92" i="5"/>
  <c r="R86" i="5"/>
  <c r="S86" i="5"/>
  <c r="W86" i="5"/>
  <c r="X86" i="5"/>
  <c r="Q86" i="5"/>
  <c r="R82" i="5"/>
  <c r="S82" i="5"/>
  <c r="T82" i="5"/>
  <c r="U82" i="5"/>
  <c r="V82" i="5"/>
  <c r="W82" i="5"/>
  <c r="X82" i="5"/>
  <c r="Q82" i="5"/>
  <c r="R79" i="5"/>
  <c r="S79" i="5"/>
  <c r="U79" i="5"/>
  <c r="V79" i="5"/>
  <c r="W79" i="5"/>
  <c r="X79" i="5"/>
  <c r="Q79" i="5"/>
  <c r="R75" i="5"/>
  <c r="S75" i="5"/>
  <c r="U75" i="5"/>
  <c r="V75" i="5"/>
  <c r="W75" i="5"/>
  <c r="X75" i="5"/>
  <c r="Q75" i="5"/>
  <c r="R48" i="5"/>
  <c r="S48" i="5"/>
  <c r="T48" i="5"/>
  <c r="U48" i="5"/>
  <c r="W48" i="5"/>
  <c r="X48" i="5"/>
  <c r="Q48" i="5"/>
  <c r="W42" i="5"/>
  <c r="X42" i="5"/>
  <c r="R36" i="5"/>
  <c r="S36" i="5"/>
  <c r="Q36" i="5"/>
  <c r="R34" i="5"/>
  <c r="S34" i="5"/>
  <c r="T34" i="5"/>
  <c r="U34" i="5"/>
  <c r="V34" i="5"/>
  <c r="W34" i="5"/>
  <c r="X34" i="5"/>
  <c r="R31" i="5"/>
  <c r="S31" i="5"/>
  <c r="T31" i="5"/>
  <c r="U31" i="5"/>
  <c r="V31" i="5"/>
  <c r="W31" i="5"/>
  <c r="X31" i="5"/>
  <c r="Q31" i="5"/>
  <c r="W29" i="5"/>
  <c r="X29" i="5"/>
  <c r="V28" i="5"/>
  <c r="W28" i="5"/>
  <c r="X28" i="5"/>
  <c r="U184" i="5"/>
  <c r="U190" i="5"/>
  <c r="U133" i="5"/>
  <c r="U135" i="5" s="1"/>
  <c r="U138" i="5"/>
  <c r="U139" i="5" s="1"/>
  <c r="U27" i="5"/>
  <c r="U28" i="5" s="1"/>
  <c r="U146" i="5"/>
  <c r="T146" i="5"/>
  <c r="H146" i="5"/>
  <c r="U46" i="5"/>
  <c r="U45" i="5"/>
  <c r="T46" i="5"/>
  <c r="T45" i="5"/>
  <c r="Y45" i="5" s="1"/>
  <c r="E45" i="5"/>
  <c r="O45" i="5" s="1"/>
  <c r="E49" i="5"/>
  <c r="O49" i="5" s="1"/>
  <c r="Y50" i="5"/>
  <c r="Y51" i="5"/>
  <c r="Y49" i="5"/>
  <c r="E50" i="5"/>
  <c r="O50" i="5" s="1"/>
  <c r="E51" i="5"/>
  <c r="O51" i="5" s="1"/>
  <c r="E48" i="5"/>
  <c r="V92" i="5" l="1"/>
  <c r="W102" i="5"/>
  <c r="W103" i="5" s="1"/>
  <c r="W136" i="5" s="1"/>
  <c r="O111" i="5"/>
  <c r="Z111" i="5" s="1"/>
  <c r="Z105" i="5"/>
  <c r="X102" i="5"/>
  <c r="X103" i="5" s="1"/>
  <c r="X136" i="5" s="1"/>
  <c r="O113" i="5"/>
  <c r="Z113" i="5" s="1"/>
  <c r="O109" i="5"/>
  <c r="Z109" i="5" s="1"/>
  <c r="Y132" i="5"/>
  <c r="Y82" i="5"/>
  <c r="Y48" i="5"/>
  <c r="Y31" i="5"/>
  <c r="Z45" i="5"/>
  <c r="Z51" i="5"/>
  <c r="Z50" i="5"/>
  <c r="Z49" i="5"/>
  <c r="U125" i="5" l="1"/>
  <c r="T89" i="5"/>
  <c r="T152" i="5"/>
  <c r="T151" i="5"/>
  <c r="Y84" i="5"/>
  <c r="E84" i="5"/>
  <c r="Y81" i="5"/>
  <c r="E81" i="5"/>
  <c r="O81" i="5" s="1"/>
  <c r="Y77" i="5"/>
  <c r="E77" i="5"/>
  <c r="O77" i="5" s="1"/>
  <c r="H145" i="5"/>
  <c r="O145" i="5" s="1"/>
  <c r="O146" i="5"/>
  <c r="H147" i="5"/>
  <c r="O147" i="5" s="1"/>
  <c r="E44" i="5"/>
  <c r="O44" i="5" s="1"/>
  <c r="Y196" i="5"/>
  <c r="Z196" i="5" s="1"/>
  <c r="U163" i="5"/>
  <c r="U162" i="5"/>
  <c r="U161" i="5"/>
  <c r="U100" i="5"/>
  <c r="Y100" i="5" s="1"/>
  <c r="U99" i="5"/>
  <c r="Y99" i="5" s="1"/>
  <c r="U98" i="5"/>
  <c r="Y98" i="5" s="1"/>
  <c r="U153" i="5"/>
  <c r="U90" i="5"/>
  <c r="Y90" i="5" s="1"/>
  <c r="E70" i="5"/>
  <c r="E71" i="5"/>
  <c r="E72" i="5"/>
  <c r="U44" i="5"/>
  <c r="Y44" i="5" s="1"/>
  <c r="U145" i="5"/>
  <c r="Y145" i="5" s="1"/>
  <c r="U144" i="5"/>
  <c r="U43" i="5"/>
  <c r="E65" i="5"/>
  <c r="O65" i="5" s="1"/>
  <c r="E66" i="5"/>
  <c r="O66" i="5" s="1"/>
  <c r="E67" i="5"/>
  <c r="O67" i="5" s="1"/>
  <c r="E68" i="5"/>
  <c r="O68" i="5" s="1"/>
  <c r="E69" i="5"/>
  <c r="O69" i="5" s="1"/>
  <c r="E64" i="5"/>
  <c r="O64" i="5" s="1"/>
  <c r="U147" i="5"/>
  <c r="U157" i="5"/>
  <c r="U158" i="5"/>
  <c r="U159" i="5"/>
  <c r="U160" i="5"/>
  <c r="U156" i="5"/>
  <c r="U151" i="5"/>
  <c r="U152" i="5"/>
  <c r="U150" i="5"/>
  <c r="U94" i="5"/>
  <c r="U95" i="5"/>
  <c r="U96" i="5"/>
  <c r="U97" i="5"/>
  <c r="U93" i="5"/>
  <c r="U88" i="5"/>
  <c r="U89" i="5"/>
  <c r="U87" i="5"/>
  <c r="U187" i="5"/>
  <c r="U189" i="5" s="1"/>
  <c r="U128" i="5"/>
  <c r="U129" i="5" s="1"/>
  <c r="U210" i="5"/>
  <c r="U208" i="5"/>
  <c r="U212" i="5" s="1"/>
  <c r="U218" i="5" s="1"/>
  <c r="U167" i="5"/>
  <c r="U165" i="5"/>
  <c r="U141" i="5"/>
  <c r="U140" i="5" s="1"/>
  <c r="U37" i="5"/>
  <c r="U36" i="5" s="1"/>
  <c r="U30" i="5"/>
  <c r="T176" i="5"/>
  <c r="T116" i="5"/>
  <c r="Y116" i="5" s="1"/>
  <c r="H183" i="5"/>
  <c r="T184" i="5"/>
  <c r="Y195" i="5"/>
  <c r="Y83" i="5"/>
  <c r="Y73" i="5"/>
  <c r="Y70" i="5"/>
  <c r="Y72" i="5"/>
  <c r="Y71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U143" i="5" l="1"/>
  <c r="Z116" i="5"/>
  <c r="Y125" i="5"/>
  <c r="T183" i="5"/>
  <c r="Y176" i="5"/>
  <c r="Z176" i="5" s="1"/>
  <c r="U29" i="5"/>
  <c r="V30" i="5"/>
  <c r="V29" i="5" s="1"/>
  <c r="V102" i="5" s="1"/>
  <c r="V103" i="5" s="1"/>
  <c r="V136" i="5" s="1"/>
  <c r="U155" i="5"/>
  <c r="U170" i="5" s="1"/>
  <c r="U192" i="5" s="1"/>
  <c r="U42" i="5"/>
  <c r="U86" i="5"/>
  <c r="T125" i="5"/>
  <c r="U92" i="5"/>
  <c r="U102" i="5" s="1"/>
  <c r="U103" i="5" s="1"/>
  <c r="U136" i="5" s="1"/>
  <c r="Z77" i="5"/>
  <c r="Z145" i="5"/>
  <c r="Z66" i="5"/>
  <c r="U213" i="5"/>
  <c r="Z44" i="5"/>
  <c r="Z81" i="5"/>
  <c r="Z64" i="5"/>
  <c r="Z65" i="5"/>
  <c r="U149" i="5"/>
  <c r="S187" i="5"/>
  <c r="S189" i="5" s="1"/>
  <c r="T187" i="5"/>
  <c r="T189" i="5" s="1"/>
  <c r="S128" i="5"/>
  <c r="T128" i="5"/>
  <c r="T129" i="5" s="1"/>
  <c r="T160" i="5"/>
  <c r="T159" i="5"/>
  <c r="T158" i="5"/>
  <c r="T157" i="5"/>
  <c r="T156" i="5"/>
  <c r="T97" i="5"/>
  <c r="Y97" i="5" s="1"/>
  <c r="T96" i="5"/>
  <c r="Y96" i="5" s="1"/>
  <c r="T95" i="5"/>
  <c r="Y95" i="5" s="1"/>
  <c r="T94" i="5"/>
  <c r="Y94" i="5" s="1"/>
  <c r="T93" i="5"/>
  <c r="T147" i="5"/>
  <c r="Y147" i="5" s="1"/>
  <c r="Z147" i="5" s="1"/>
  <c r="Y46" i="5"/>
  <c r="T144" i="5"/>
  <c r="T43" i="5"/>
  <c r="T42" i="5" s="1"/>
  <c r="T150" i="5"/>
  <c r="T88" i="5"/>
  <c r="Y88" i="5" s="1"/>
  <c r="T87" i="5"/>
  <c r="T80" i="5"/>
  <c r="T79" i="5" s="1"/>
  <c r="Y79" i="5" s="1"/>
  <c r="T76" i="5"/>
  <c r="T75" i="5" s="1"/>
  <c r="Y75" i="5" s="1"/>
  <c r="T141" i="5"/>
  <c r="T140" i="5" s="1"/>
  <c r="T30" i="5"/>
  <c r="T29" i="5" s="1"/>
  <c r="T37" i="5"/>
  <c r="T36" i="5" s="1"/>
  <c r="Y36" i="5" s="1"/>
  <c r="T138" i="5"/>
  <c r="T139" i="5" s="1"/>
  <c r="T27" i="5"/>
  <c r="T28" i="5" s="1"/>
  <c r="I189" i="5"/>
  <c r="H189" i="5"/>
  <c r="S129" i="5" l="1"/>
  <c r="Y128" i="5"/>
  <c r="Z128" i="5" s="1"/>
  <c r="T143" i="5"/>
  <c r="T155" i="5"/>
  <c r="Y87" i="5"/>
  <c r="T86" i="5"/>
  <c r="Y86" i="5" s="1"/>
  <c r="Y93" i="5"/>
  <c r="T92" i="5"/>
  <c r="Y92" i="5" s="1"/>
  <c r="Y187" i="5"/>
  <c r="T149" i="5"/>
  <c r="Y89" i="5"/>
  <c r="U171" i="5"/>
  <c r="B47" i="3"/>
  <c r="B46" i="3"/>
  <c r="B44" i="3"/>
  <c r="B42" i="3"/>
  <c r="B16" i="3"/>
  <c r="B15" i="3"/>
  <c r="B12" i="3"/>
  <c r="B11" i="3"/>
  <c r="B8" i="3"/>
  <c r="B7" i="3"/>
  <c r="B6" i="3"/>
  <c r="B5" i="3"/>
  <c r="B4" i="3"/>
  <c r="T102" i="5" l="1"/>
  <c r="T103" i="5" s="1"/>
  <c r="T136" i="5" s="1"/>
  <c r="Z187" i="5"/>
  <c r="U216" i="5"/>
  <c r="U217" i="5"/>
  <c r="B48" i="3"/>
  <c r="B14" i="3"/>
  <c r="B18" i="3"/>
  <c r="L212" i="5"/>
  <c r="K212" i="5"/>
  <c r="D45" i="3"/>
  <c r="F45" i="3" s="1"/>
  <c r="D43" i="3"/>
  <c r="F43" i="3" s="1"/>
  <c r="C47" i="3"/>
  <c r="D47" i="3" s="1"/>
  <c r="C46" i="3"/>
  <c r="D46" i="3" s="1"/>
  <c r="C44" i="3"/>
  <c r="D44" i="3" s="1"/>
  <c r="C42" i="3"/>
  <c r="Y188" i="5"/>
  <c r="Z188" i="5" s="1"/>
  <c r="Y185" i="5"/>
  <c r="Z185" i="5" s="1"/>
  <c r="D37" i="3"/>
  <c r="F37" i="3" s="1"/>
  <c r="U219" i="5" l="1"/>
  <c r="U214" i="5"/>
  <c r="C48" i="3"/>
  <c r="D42" i="3"/>
  <c r="D48" i="3" s="1"/>
  <c r="E135" i="5"/>
  <c r="B29" i="3" s="1"/>
  <c r="D29" i="3" s="1"/>
  <c r="E62" i="5" l="1"/>
  <c r="E63" i="5"/>
  <c r="Y207" i="5"/>
  <c r="Y205" i="5"/>
  <c r="Y197" i="5"/>
  <c r="Y182" i="5"/>
  <c r="Z182" i="5" s="1"/>
  <c r="Y181" i="5"/>
  <c r="Z181" i="5" s="1"/>
  <c r="Y180" i="5"/>
  <c r="Z180" i="5" s="1"/>
  <c r="Y179" i="5"/>
  <c r="Z179" i="5" s="1"/>
  <c r="Y178" i="5"/>
  <c r="Z178" i="5" s="1"/>
  <c r="Y177" i="5"/>
  <c r="Z177" i="5" s="1"/>
  <c r="Y173" i="5"/>
  <c r="Z173" i="5" s="1"/>
  <c r="Y172" i="5"/>
  <c r="Z167" i="5"/>
  <c r="Z165" i="5"/>
  <c r="Y126" i="5"/>
  <c r="O163" i="5"/>
  <c r="O162" i="5"/>
  <c r="O161" i="5"/>
  <c r="O160" i="5"/>
  <c r="O159" i="5"/>
  <c r="O158" i="5"/>
  <c r="O157" i="5"/>
  <c r="O156" i="5"/>
  <c r="O153" i="5"/>
  <c r="O152" i="5"/>
  <c r="O151" i="5"/>
  <c r="O150" i="5"/>
  <c r="H144" i="5"/>
  <c r="E46" i="5"/>
  <c r="O46" i="5" s="1"/>
  <c r="Z46" i="5" s="1"/>
  <c r="E43" i="5"/>
  <c r="H143" i="5"/>
  <c r="E80" i="5"/>
  <c r="E76" i="5"/>
  <c r="N117" i="5"/>
  <c r="P117" i="5" s="1"/>
  <c r="Y201" i="5"/>
  <c r="O201" i="5" s="1"/>
  <c r="S210" i="5"/>
  <c r="R210" i="5"/>
  <c r="Q210" i="5"/>
  <c r="S208" i="5"/>
  <c r="S212" i="5" s="1"/>
  <c r="S218" i="5" s="1"/>
  <c r="R208" i="5"/>
  <c r="Q208" i="5"/>
  <c r="S190" i="5"/>
  <c r="S191" i="5" s="1"/>
  <c r="R190" i="5"/>
  <c r="R191" i="5" s="1"/>
  <c r="Q190" i="5"/>
  <c r="Q191" i="5" s="1"/>
  <c r="R199" i="5"/>
  <c r="Q199" i="5"/>
  <c r="Y186" i="5"/>
  <c r="S167" i="5"/>
  <c r="R167" i="5"/>
  <c r="Q167" i="5"/>
  <c r="S165" i="5"/>
  <c r="R165" i="5"/>
  <c r="Q165" i="5"/>
  <c r="R144" i="5"/>
  <c r="R143" i="5" s="1"/>
  <c r="Q125" i="5"/>
  <c r="Q141" i="5"/>
  <c r="Q140" i="5" s="1"/>
  <c r="Q138" i="5"/>
  <c r="Q133" i="5"/>
  <c r="Q135" i="5" s="1"/>
  <c r="K213" i="5"/>
  <c r="O197" i="5"/>
  <c r="O195" i="5"/>
  <c r="Q194" i="5"/>
  <c r="Y163" i="5"/>
  <c r="Y162" i="5"/>
  <c r="Y161" i="5"/>
  <c r="Y160" i="5"/>
  <c r="Y159" i="5"/>
  <c r="Y158" i="5"/>
  <c r="Y157" i="5"/>
  <c r="Y156" i="5"/>
  <c r="Y153" i="5"/>
  <c r="Y152" i="5"/>
  <c r="Y151" i="5"/>
  <c r="Y150" i="5"/>
  <c r="Y35" i="5"/>
  <c r="Y37" i="5"/>
  <c r="Y76" i="5"/>
  <c r="Y80" i="5"/>
  <c r="Y166" i="5"/>
  <c r="Y165" i="5" s="1"/>
  <c r="Y168" i="5"/>
  <c r="Y167" i="5" s="1"/>
  <c r="T130" i="5"/>
  <c r="T165" i="5"/>
  <c r="T167" i="5"/>
  <c r="T208" i="5"/>
  <c r="T212" i="5" s="1"/>
  <c r="T218" i="5" s="1"/>
  <c r="T210" i="5"/>
  <c r="F189" i="5"/>
  <c r="G189" i="5"/>
  <c r="B36" i="3"/>
  <c r="C36" i="3"/>
  <c r="J189" i="5"/>
  <c r="K189" i="5"/>
  <c r="L189" i="5"/>
  <c r="M189" i="5"/>
  <c r="E189" i="5"/>
  <c r="I191" i="5"/>
  <c r="C38" i="3" s="1"/>
  <c r="K197" i="5"/>
  <c r="K195" i="5"/>
  <c r="T170" i="5" l="1"/>
  <c r="T192" i="5" s="1"/>
  <c r="O149" i="5"/>
  <c r="O155" i="5"/>
  <c r="Z126" i="5"/>
  <c r="Z129" i="5" s="1"/>
  <c r="Y129" i="5"/>
  <c r="G46" i="3"/>
  <c r="O207" i="5"/>
  <c r="E46" i="3" s="1"/>
  <c r="Z195" i="5"/>
  <c r="Z194" i="5" s="1"/>
  <c r="O194" i="5"/>
  <c r="Q139" i="5"/>
  <c r="Q212" i="5"/>
  <c r="R212" i="5"/>
  <c r="R218" i="5" s="1"/>
  <c r="Y183" i="5"/>
  <c r="G35" i="3" s="1"/>
  <c r="Y194" i="5"/>
  <c r="G42" i="3" s="1"/>
  <c r="Z197" i="5"/>
  <c r="Y155" i="5"/>
  <c r="O205" i="5"/>
  <c r="Z205" i="5" s="1"/>
  <c r="G44" i="3"/>
  <c r="Z152" i="5"/>
  <c r="Z158" i="5"/>
  <c r="Y199" i="5"/>
  <c r="T216" i="5"/>
  <c r="G26" i="3"/>
  <c r="T213" i="5"/>
  <c r="Z151" i="5"/>
  <c r="Z157" i="5"/>
  <c r="Z150" i="5"/>
  <c r="Z156" i="5"/>
  <c r="Z160" i="5"/>
  <c r="D36" i="3"/>
  <c r="Y149" i="5"/>
  <c r="Z153" i="5"/>
  <c r="Z159" i="5"/>
  <c r="Y190" i="5"/>
  <c r="Z161" i="5"/>
  <c r="Z162" i="5"/>
  <c r="Z163" i="5"/>
  <c r="H46" i="3" l="1"/>
  <c r="F46" i="3"/>
  <c r="T171" i="5"/>
  <c r="Z207" i="5"/>
  <c r="Y191" i="5"/>
  <c r="G38" i="3" s="1"/>
  <c r="O199" i="5"/>
  <c r="Z199" i="5" s="1"/>
  <c r="Z155" i="5"/>
  <c r="E44" i="3"/>
  <c r="T217" i="5"/>
  <c r="T219" i="5" s="1"/>
  <c r="Z149" i="5"/>
  <c r="E42" i="3"/>
  <c r="S43" i="5"/>
  <c r="S42" i="5" s="1"/>
  <c r="R43" i="5"/>
  <c r="R42" i="5" s="1"/>
  <c r="Q43" i="5"/>
  <c r="O89" i="5"/>
  <c r="Z89" i="5" s="1"/>
  <c r="O84" i="5"/>
  <c r="Z84" i="5" s="1"/>
  <c r="N92" i="5"/>
  <c r="N86" i="5"/>
  <c r="E79" i="5"/>
  <c r="N79" i="5" s="1"/>
  <c r="O100" i="5"/>
  <c r="Z100" i="5" s="1"/>
  <c r="O99" i="5"/>
  <c r="Z99" i="5" s="1"/>
  <c r="O98" i="5"/>
  <c r="Z98" i="5" s="1"/>
  <c r="O97" i="5"/>
  <c r="Z97" i="5" s="1"/>
  <c r="O96" i="5"/>
  <c r="Z96" i="5" s="1"/>
  <c r="O95" i="5"/>
  <c r="Z95" i="5" s="1"/>
  <c r="O94" i="5"/>
  <c r="Z94" i="5" s="1"/>
  <c r="O93" i="5"/>
  <c r="O90" i="5"/>
  <c r="Z90" i="5" s="1"/>
  <c r="O88" i="5"/>
  <c r="Z88" i="5" s="1"/>
  <c r="O87" i="5"/>
  <c r="E83" i="5"/>
  <c r="O83" i="5" s="1"/>
  <c r="O76" i="5"/>
  <c r="O75" i="5" s="1"/>
  <c r="O73" i="5"/>
  <c r="Z73" i="5" s="1"/>
  <c r="O70" i="5"/>
  <c r="Z70" i="5" s="1"/>
  <c r="O72" i="5"/>
  <c r="Z72" i="5" s="1"/>
  <c r="O71" i="5"/>
  <c r="Z71" i="5" s="1"/>
  <c r="Z69" i="5"/>
  <c r="Z68" i="5"/>
  <c r="Z67" i="5"/>
  <c r="O63" i="5"/>
  <c r="Z63" i="5" s="1"/>
  <c r="O62" i="5"/>
  <c r="E40" i="5"/>
  <c r="O40" i="5" s="1"/>
  <c r="Z40" i="5" s="1"/>
  <c r="E39" i="5"/>
  <c r="O39" i="5" s="1"/>
  <c r="Z39" i="5" s="1"/>
  <c r="E37" i="5"/>
  <c r="O37" i="5" s="1"/>
  <c r="O35" i="5"/>
  <c r="Z32" i="5"/>
  <c r="Z31" i="5" s="1"/>
  <c r="E52" i="5"/>
  <c r="O52" i="5" s="1"/>
  <c r="E53" i="5"/>
  <c r="O53" i="5" s="1"/>
  <c r="Z53" i="5" s="1"/>
  <c r="E54" i="5"/>
  <c r="O54" i="5" s="1"/>
  <c r="Z54" i="5" s="1"/>
  <c r="E55" i="5"/>
  <c r="O55" i="5" s="1"/>
  <c r="Z55" i="5" s="1"/>
  <c r="E56" i="5"/>
  <c r="O56" i="5" s="1"/>
  <c r="Z56" i="5" s="1"/>
  <c r="E57" i="5"/>
  <c r="O57" i="5" s="1"/>
  <c r="Z57" i="5" s="1"/>
  <c r="E58" i="5"/>
  <c r="O58" i="5" s="1"/>
  <c r="Z58" i="5" s="1"/>
  <c r="E59" i="5"/>
  <c r="O59" i="5" s="1"/>
  <c r="Z59" i="5" s="1"/>
  <c r="E60" i="5"/>
  <c r="O60" i="5" s="1"/>
  <c r="Z60" i="5" s="1"/>
  <c r="E61" i="5"/>
  <c r="O61" i="5" s="1"/>
  <c r="Z61" i="5" s="1"/>
  <c r="E82" i="5"/>
  <c r="N82" i="5" s="1"/>
  <c r="E75" i="5"/>
  <c r="N75" i="5" s="1"/>
  <c r="N48" i="5"/>
  <c r="E36" i="5"/>
  <c r="N36" i="5" s="1"/>
  <c r="E34" i="5"/>
  <c r="N34" i="5" s="1"/>
  <c r="E31" i="5"/>
  <c r="N31" i="5" s="1"/>
  <c r="E29" i="5"/>
  <c r="O43" i="5"/>
  <c r="O42" i="5" s="1"/>
  <c r="N194" i="5"/>
  <c r="P194" i="5" s="1"/>
  <c r="M218" i="5"/>
  <c r="J217" i="5"/>
  <c r="M212" i="5"/>
  <c r="J212" i="5"/>
  <c r="G212" i="5"/>
  <c r="X210" i="5"/>
  <c r="W210" i="5"/>
  <c r="V210" i="5"/>
  <c r="N210" i="5"/>
  <c r="P210" i="5" s="1"/>
  <c r="X208" i="5"/>
  <c r="W208" i="5"/>
  <c r="V208" i="5"/>
  <c r="V212" i="5" s="1"/>
  <c r="N208" i="5"/>
  <c r="N207" i="5"/>
  <c r="P207" i="5" s="1"/>
  <c r="N205" i="5"/>
  <c r="P205" i="5" s="1"/>
  <c r="X203" i="5"/>
  <c r="W203" i="5"/>
  <c r="N203" i="5"/>
  <c r="Z201" i="5"/>
  <c r="N201" i="5"/>
  <c r="N199" i="5"/>
  <c r="H191" i="5"/>
  <c r="B38" i="3" s="1"/>
  <c r="D38" i="3" s="1"/>
  <c r="N190" i="5"/>
  <c r="N188" i="5"/>
  <c r="P188" i="5" s="1"/>
  <c r="N186" i="5"/>
  <c r="P186" i="5" s="1"/>
  <c r="N185" i="5"/>
  <c r="P185" i="5" s="1"/>
  <c r="X184" i="5"/>
  <c r="X189" i="5" s="1"/>
  <c r="W184" i="5"/>
  <c r="W189" i="5" s="1"/>
  <c r="V184" i="5"/>
  <c r="V189" i="5" s="1"/>
  <c r="N184" i="5"/>
  <c r="M183" i="5"/>
  <c r="M191" i="5" s="1"/>
  <c r="L183" i="5"/>
  <c r="K183" i="5"/>
  <c r="B35" i="3"/>
  <c r="F183" i="5"/>
  <c r="E183" i="5"/>
  <c r="N182" i="5"/>
  <c r="P182" i="5" s="1"/>
  <c r="N181" i="5"/>
  <c r="P181" i="5" s="1"/>
  <c r="N180" i="5"/>
  <c r="P180" i="5" s="1"/>
  <c r="N179" i="5"/>
  <c r="P179" i="5" s="1"/>
  <c r="I177" i="5"/>
  <c r="N178" i="5"/>
  <c r="N175" i="5"/>
  <c r="P175" i="5" s="1"/>
  <c r="N173" i="5"/>
  <c r="P173" i="5" s="1"/>
  <c r="Z172" i="5"/>
  <c r="Z183" i="5" s="1"/>
  <c r="N172" i="5"/>
  <c r="E35" i="3"/>
  <c r="H35" i="3" s="1"/>
  <c r="M171" i="5"/>
  <c r="M139" i="5"/>
  <c r="L139" i="5"/>
  <c r="J139" i="5"/>
  <c r="I139" i="5"/>
  <c r="C34" i="3" s="1"/>
  <c r="G139" i="5"/>
  <c r="F139" i="5"/>
  <c r="F171" i="5" s="1"/>
  <c r="E139" i="5"/>
  <c r="E171" i="5" s="1"/>
  <c r="S138" i="5"/>
  <c r="S139" i="5" s="1"/>
  <c r="R138" i="5"/>
  <c r="M170" i="5"/>
  <c r="L170" i="5"/>
  <c r="J170" i="5"/>
  <c r="G170" i="5"/>
  <c r="S144" i="5"/>
  <c r="S143" i="5" s="1"/>
  <c r="Q144" i="5"/>
  <c r="Q143" i="5" s="1"/>
  <c r="O144" i="5"/>
  <c r="O143" i="5" s="1"/>
  <c r="N143" i="5"/>
  <c r="N155" i="5"/>
  <c r="P155" i="5" s="1"/>
  <c r="X149" i="5"/>
  <c r="W149" i="5"/>
  <c r="R149" i="5"/>
  <c r="Q149" i="5"/>
  <c r="N149" i="5"/>
  <c r="P149" i="5" s="1"/>
  <c r="O169" i="5"/>
  <c r="O168" i="5"/>
  <c r="X167" i="5"/>
  <c r="W167" i="5"/>
  <c r="V167" i="5"/>
  <c r="V170" i="5" s="1"/>
  <c r="I167" i="5"/>
  <c r="H167" i="5"/>
  <c r="O166" i="5"/>
  <c r="O165" i="5" s="1"/>
  <c r="X165" i="5"/>
  <c r="W165" i="5"/>
  <c r="I165" i="5"/>
  <c r="H165" i="5"/>
  <c r="S141" i="5"/>
  <c r="S140" i="5" s="1"/>
  <c r="R141" i="5"/>
  <c r="R140" i="5" s="1"/>
  <c r="O141" i="5"/>
  <c r="H140" i="5"/>
  <c r="L135" i="5"/>
  <c r="L136" i="5" s="1"/>
  <c r="I135" i="5"/>
  <c r="H135" i="5"/>
  <c r="F135" i="5"/>
  <c r="R134" i="5"/>
  <c r="Y134" i="5" s="1"/>
  <c r="N134" i="5"/>
  <c r="S133" i="5"/>
  <c r="S135" i="5" s="1"/>
  <c r="R133" i="5"/>
  <c r="N133" i="5"/>
  <c r="E28" i="3"/>
  <c r="M132" i="5"/>
  <c r="L132" i="5"/>
  <c r="K132" i="5"/>
  <c r="J132" i="5"/>
  <c r="I132" i="5"/>
  <c r="H132" i="5"/>
  <c r="G132" i="5"/>
  <c r="F132" i="5"/>
  <c r="E132" i="5"/>
  <c r="B28" i="3" s="1"/>
  <c r="D28" i="3" s="1"/>
  <c r="X130" i="5"/>
  <c r="W130" i="5"/>
  <c r="S130" i="5"/>
  <c r="R130" i="5"/>
  <c r="Q130" i="5"/>
  <c r="N130" i="5"/>
  <c r="M129" i="5"/>
  <c r="I129" i="5"/>
  <c r="H129" i="5"/>
  <c r="F129" i="5"/>
  <c r="E129" i="5"/>
  <c r="B27" i="3" s="1"/>
  <c r="D27" i="3" s="1"/>
  <c r="N127" i="5"/>
  <c r="P127" i="5" s="1"/>
  <c r="N126" i="5"/>
  <c r="M125" i="5"/>
  <c r="L125" i="5"/>
  <c r="K125" i="5"/>
  <c r="I125" i="5"/>
  <c r="H125" i="5"/>
  <c r="F125" i="5"/>
  <c r="C26" i="3" s="1"/>
  <c r="C30" i="3" s="1"/>
  <c r="N124" i="5"/>
  <c r="P124" i="5" s="1"/>
  <c r="N123" i="5"/>
  <c r="P123" i="5" s="1"/>
  <c r="O122" i="5"/>
  <c r="Z122" i="5" s="1"/>
  <c r="N122" i="5"/>
  <c r="D122" i="5"/>
  <c r="N121" i="5"/>
  <c r="P121" i="5" s="1"/>
  <c r="N120" i="5"/>
  <c r="P120" i="5" s="1"/>
  <c r="N119" i="5"/>
  <c r="P119" i="5" s="1"/>
  <c r="N115" i="5"/>
  <c r="P115" i="5" s="1"/>
  <c r="N114" i="5"/>
  <c r="P114" i="5" s="1"/>
  <c r="N113" i="5"/>
  <c r="P113" i="5" s="1"/>
  <c r="N111" i="5"/>
  <c r="P111" i="5" s="1"/>
  <c r="N110" i="5"/>
  <c r="P110" i="5" s="1"/>
  <c r="N109" i="5"/>
  <c r="P109" i="5" s="1"/>
  <c r="E108" i="5"/>
  <c r="N108" i="5" s="1"/>
  <c r="P108" i="5" s="1"/>
  <c r="E107" i="5"/>
  <c r="N106" i="5"/>
  <c r="P106" i="5" s="1"/>
  <c r="N105" i="5"/>
  <c r="P105" i="5" s="1"/>
  <c r="M103" i="5"/>
  <c r="L103" i="5"/>
  <c r="J103" i="5"/>
  <c r="G103" i="5"/>
  <c r="M102" i="5"/>
  <c r="L102" i="5"/>
  <c r="J102" i="5"/>
  <c r="I102" i="5"/>
  <c r="G102" i="5"/>
  <c r="F102" i="5"/>
  <c r="K92" i="5"/>
  <c r="H92" i="5"/>
  <c r="K86" i="5"/>
  <c r="H86" i="5"/>
  <c r="O80" i="5"/>
  <c r="O79" i="5" s="1"/>
  <c r="K79" i="5"/>
  <c r="K75" i="5"/>
  <c r="K170" i="5" s="1"/>
  <c r="H48" i="5"/>
  <c r="H42" i="5"/>
  <c r="B42" i="5"/>
  <c r="E42" i="5" s="1"/>
  <c r="Q34" i="5"/>
  <c r="Y34" i="5" s="1"/>
  <c r="S30" i="5"/>
  <c r="S29" i="5" s="1"/>
  <c r="S102" i="5" s="1"/>
  <c r="R30" i="5"/>
  <c r="R29" i="5" s="1"/>
  <c r="R102" i="5" s="1"/>
  <c r="Q30" i="5"/>
  <c r="O30" i="5"/>
  <c r="H29" i="5"/>
  <c r="M28" i="5"/>
  <c r="L28" i="5"/>
  <c r="K28" i="5"/>
  <c r="J28" i="5"/>
  <c r="I28" i="5"/>
  <c r="H28" i="5"/>
  <c r="G28" i="5"/>
  <c r="F28" i="5"/>
  <c r="E28" i="5"/>
  <c r="B25" i="3" s="1"/>
  <c r="D25" i="3" s="1"/>
  <c r="Z27" i="5"/>
  <c r="Z28" i="5" s="1"/>
  <c r="S27" i="5"/>
  <c r="S28" i="5" s="1"/>
  <c r="R27" i="5"/>
  <c r="R28" i="5" s="1"/>
  <c r="Q27" i="5"/>
  <c r="N27" i="5"/>
  <c r="B20" i="5"/>
  <c r="B16" i="5"/>
  <c r="B12" i="5"/>
  <c r="V192" i="5" l="1"/>
  <c r="P143" i="5"/>
  <c r="R135" i="5"/>
  <c r="W170" i="5"/>
  <c r="W192" i="5" s="1"/>
  <c r="V213" i="5"/>
  <c r="V214" i="5" s="1"/>
  <c r="V218" i="5"/>
  <c r="N132" i="5"/>
  <c r="P130" i="5"/>
  <c r="R139" i="5"/>
  <c r="Y138" i="5"/>
  <c r="O27" i="5"/>
  <c r="X170" i="5"/>
  <c r="X192" i="5" s="1"/>
  <c r="W212" i="5"/>
  <c r="O36" i="5"/>
  <c r="P36" i="5" s="1"/>
  <c r="R170" i="5"/>
  <c r="R192" i="5" s="1"/>
  <c r="S170" i="5"/>
  <c r="S192" i="5" s="1"/>
  <c r="N189" i="5"/>
  <c r="X212" i="5"/>
  <c r="O48" i="5"/>
  <c r="P48" i="5" s="1"/>
  <c r="S103" i="5"/>
  <c r="S136" i="5" s="1"/>
  <c r="F28" i="3"/>
  <c r="F44" i="3"/>
  <c r="H44" i="3"/>
  <c r="Z93" i="5"/>
  <c r="Z92" i="5" s="1"/>
  <c r="O92" i="5"/>
  <c r="Z52" i="5"/>
  <c r="Z83" i="5"/>
  <c r="Z82" i="5" s="1"/>
  <c r="O82" i="5"/>
  <c r="P82" i="5" s="1"/>
  <c r="Z87" i="5"/>
  <c r="O86" i="5"/>
  <c r="R103" i="5"/>
  <c r="E125" i="5"/>
  <c r="Y146" i="5"/>
  <c r="T214" i="5"/>
  <c r="P172" i="5"/>
  <c r="Y184" i="5"/>
  <c r="Y203" i="5"/>
  <c r="H42" i="3"/>
  <c r="F42" i="3"/>
  <c r="N135" i="5"/>
  <c r="E25" i="3"/>
  <c r="P132" i="5"/>
  <c r="K135" i="5"/>
  <c r="K136" i="5" s="1"/>
  <c r="Y130" i="5"/>
  <c r="Y133" i="5"/>
  <c r="Y139" i="5"/>
  <c r="Y210" i="5"/>
  <c r="Z210" i="5" s="1"/>
  <c r="P31" i="5"/>
  <c r="Z76" i="5"/>
  <c r="Z75" i="5" s="1"/>
  <c r="O29" i="5"/>
  <c r="G27" i="3"/>
  <c r="Q170" i="5"/>
  <c r="Y144" i="5"/>
  <c r="Z80" i="5"/>
  <c r="Z79" i="5" s="1"/>
  <c r="O34" i="5"/>
  <c r="P34" i="5" s="1"/>
  <c r="Z35" i="5"/>
  <c r="Z34" i="5" s="1"/>
  <c r="M135" i="5"/>
  <c r="Y141" i="5"/>
  <c r="Y208" i="5"/>
  <c r="O208" i="5" s="1"/>
  <c r="P208" i="5" s="1"/>
  <c r="Z37" i="5"/>
  <c r="Z36" i="5" s="1"/>
  <c r="Z86" i="5"/>
  <c r="Q42" i="5"/>
  <c r="Y42" i="5" s="1"/>
  <c r="Z62" i="5"/>
  <c r="B26" i="3"/>
  <c r="D26" i="3" s="1"/>
  <c r="Q213" i="5"/>
  <c r="R213" i="5"/>
  <c r="N212" i="5"/>
  <c r="N213" i="5" s="1"/>
  <c r="S213" i="5"/>
  <c r="O167" i="5"/>
  <c r="O170" i="5" s="1"/>
  <c r="Y43" i="5"/>
  <c r="Z43" i="5" s="1"/>
  <c r="Z42" i="5" s="1"/>
  <c r="Q28" i="5"/>
  <c r="Y27" i="5"/>
  <c r="Y28" i="5" s="1"/>
  <c r="G25" i="3" s="1"/>
  <c r="Q29" i="5"/>
  <c r="Y30" i="5"/>
  <c r="Z30" i="5" s="1"/>
  <c r="Z29" i="5" s="1"/>
  <c r="N177" i="5"/>
  <c r="P177" i="5" s="1"/>
  <c r="I183" i="5"/>
  <c r="C35" i="3" s="1"/>
  <c r="D35" i="3" s="1"/>
  <c r="F35" i="3" s="1"/>
  <c r="I170" i="5"/>
  <c r="C33" i="3" s="1"/>
  <c r="W171" i="5"/>
  <c r="V171" i="5"/>
  <c r="G216" i="5"/>
  <c r="O134" i="5"/>
  <c r="Z134" i="5" s="1"/>
  <c r="Q218" i="5"/>
  <c r="P201" i="5"/>
  <c r="H102" i="5"/>
  <c r="H103" i="5" s="1"/>
  <c r="N129" i="5"/>
  <c r="P129" i="5" s="1"/>
  <c r="H170" i="5"/>
  <c r="B33" i="3" s="1"/>
  <c r="O104" i="5"/>
  <c r="O125" i="5" s="1"/>
  <c r="F136" i="5"/>
  <c r="F214" i="5" s="1"/>
  <c r="F216" i="5" s="1"/>
  <c r="N29" i="5"/>
  <c r="N42" i="5"/>
  <c r="N140" i="5"/>
  <c r="P140" i="5" s="1"/>
  <c r="N165" i="5"/>
  <c r="P165" i="5" s="1"/>
  <c r="P75" i="5"/>
  <c r="B21" i="5"/>
  <c r="P122" i="5"/>
  <c r="P126" i="5"/>
  <c r="P178" i="5"/>
  <c r="P199" i="5"/>
  <c r="L213" i="5"/>
  <c r="L214" i="5" s="1"/>
  <c r="L218" i="5" s="1"/>
  <c r="N28" i="5"/>
  <c r="P79" i="5"/>
  <c r="K102" i="5"/>
  <c r="N107" i="5"/>
  <c r="P107" i="5" s="1"/>
  <c r="N138" i="5"/>
  <c r="H139" i="5"/>
  <c r="B34" i="3" s="1"/>
  <c r="D34" i="3" s="1"/>
  <c r="F103" i="5"/>
  <c r="K103" i="5"/>
  <c r="K214" i="5"/>
  <c r="K218" i="5" s="1"/>
  <c r="O138" i="5"/>
  <c r="N191" i="5"/>
  <c r="N167" i="5"/>
  <c r="X213" i="5" l="1"/>
  <c r="X218" i="5"/>
  <c r="X171" i="5"/>
  <c r="O184" i="5"/>
  <c r="Y189" i="5"/>
  <c r="R136" i="5"/>
  <c r="W213" i="5"/>
  <c r="W218" i="5"/>
  <c r="Y135" i="5"/>
  <c r="G29" i="3" s="1"/>
  <c r="O102" i="5"/>
  <c r="O203" i="5"/>
  <c r="Z203" i="5" s="1"/>
  <c r="Y212" i="5"/>
  <c r="Y213" i="5" s="1"/>
  <c r="G47" i="3"/>
  <c r="G48" i="3" s="1"/>
  <c r="Y140" i="5"/>
  <c r="Z141" i="5"/>
  <c r="Z140" i="5" s="1"/>
  <c r="Z146" i="5"/>
  <c r="Y143" i="5"/>
  <c r="H25" i="3"/>
  <c r="F25" i="3"/>
  <c r="Q102" i="5"/>
  <c r="Q103" i="5" s="1"/>
  <c r="Q136" i="5" s="1"/>
  <c r="Y29" i="5"/>
  <c r="Y102" i="5" s="1"/>
  <c r="Z138" i="5"/>
  <c r="P167" i="5"/>
  <c r="P170" i="5" s="1"/>
  <c r="Z48" i="5"/>
  <c r="Z102" i="5" s="1"/>
  <c r="P29" i="5"/>
  <c r="E33" i="3"/>
  <c r="N183" i="5"/>
  <c r="P183" i="5" s="1"/>
  <c r="N125" i="5"/>
  <c r="P125" i="5" s="1"/>
  <c r="O28" i="5"/>
  <c r="Z184" i="5"/>
  <c r="Z189" i="5" s="1"/>
  <c r="W217" i="5"/>
  <c r="V217" i="5"/>
  <c r="X217" i="5"/>
  <c r="X216" i="5"/>
  <c r="P104" i="5"/>
  <c r="E26" i="3"/>
  <c r="H26" i="3" s="1"/>
  <c r="D33" i="3"/>
  <c r="B39" i="3"/>
  <c r="Z130" i="5"/>
  <c r="Z132" i="5" s="1"/>
  <c r="C39" i="3"/>
  <c r="C49" i="3" s="1"/>
  <c r="G34" i="3"/>
  <c r="G28" i="3"/>
  <c r="H28" i="3" s="1"/>
  <c r="R171" i="5"/>
  <c r="H192" i="5"/>
  <c r="H214" i="5" s="1"/>
  <c r="H217" i="5" s="1"/>
  <c r="Q171" i="5"/>
  <c r="Q192" i="5"/>
  <c r="S217" i="5"/>
  <c r="S171" i="5"/>
  <c r="Z104" i="5"/>
  <c r="Z125" i="5" s="1"/>
  <c r="I192" i="5"/>
  <c r="I214" i="5" s="1"/>
  <c r="I217" i="5" s="1"/>
  <c r="Z144" i="5"/>
  <c r="Z208" i="5"/>
  <c r="N170" i="5"/>
  <c r="P86" i="5"/>
  <c r="P92" i="5"/>
  <c r="P27" i="5"/>
  <c r="P28" i="5" s="1"/>
  <c r="P134" i="5"/>
  <c r="H171" i="5"/>
  <c r="N218" i="5"/>
  <c r="E102" i="5"/>
  <c r="B24" i="3" s="1"/>
  <c r="N102" i="5"/>
  <c r="N103" i="5" s="1"/>
  <c r="P42" i="5"/>
  <c r="O139" i="5"/>
  <c r="E27" i="3"/>
  <c r="O133" i="5"/>
  <c r="N139" i="5"/>
  <c r="P138" i="5"/>
  <c r="Z212" i="5" l="1"/>
  <c r="Z143" i="5"/>
  <c r="Z170" i="5" s="1"/>
  <c r="O189" i="5"/>
  <c r="E36" i="3" s="1"/>
  <c r="F36" i="3" s="1"/>
  <c r="P184" i="5"/>
  <c r="P189" i="5" s="1"/>
  <c r="O212" i="5"/>
  <c r="O213" i="5" s="1"/>
  <c r="Z213" i="5" s="1"/>
  <c r="E47" i="3"/>
  <c r="P203" i="5"/>
  <c r="P212" i="5" s="1"/>
  <c r="P213" i="5" s="1"/>
  <c r="P218" i="5" s="1"/>
  <c r="Y170" i="5"/>
  <c r="Y192" i="5" s="1"/>
  <c r="Y217" i="5" s="1"/>
  <c r="H27" i="3"/>
  <c r="F27" i="3"/>
  <c r="F26" i="3"/>
  <c r="X219" i="5"/>
  <c r="X214" i="5"/>
  <c r="W216" i="5"/>
  <c r="W219" i="5" s="1"/>
  <c r="W214" i="5"/>
  <c r="V216" i="5"/>
  <c r="V219" i="5" s="1"/>
  <c r="D24" i="3"/>
  <c r="B30" i="3"/>
  <c r="B49" i="3" s="1"/>
  <c r="O103" i="5"/>
  <c r="E24" i="3"/>
  <c r="F33" i="3"/>
  <c r="D39" i="3"/>
  <c r="Z139" i="5"/>
  <c r="O171" i="5"/>
  <c r="E34" i="3"/>
  <c r="N217" i="5"/>
  <c r="G36" i="3"/>
  <c r="R216" i="5"/>
  <c r="R217" i="5"/>
  <c r="P102" i="5"/>
  <c r="P103" i="5" s="1"/>
  <c r="N192" i="5"/>
  <c r="N136" i="5"/>
  <c r="S216" i="5"/>
  <c r="S219" i="5" s="1"/>
  <c r="S214" i="5"/>
  <c r="E103" i="5"/>
  <c r="E136" i="5"/>
  <c r="E214" i="5" s="1"/>
  <c r="E216" i="5" s="1"/>
  <c r="Q216" i="5"/>
  <c r="P139" i="5"/>
  <c r="N171" i="5"/>
  <c r="Z133" i="5"/>
  <c r="Z135" i="5" s="1"/>
  <c r="O135" i="5"/>
  <c r="E29" i="3" s="1"/>
  <c r="P133" i="5"/>
  <c r="P135" i="5" s="1"/>
  <c r="G33" i="3" l="1"/>
  <c r="H33" i="3" s="1"/>
  <c r="H36" i="3"/>
  <c r="E48" i="3"/>
  <c r="H47" i="3"/>
  <c r="H48" i="3" s="1"/>
  <c r="F47" i="3"/>
  <c r="F48" i="3" s="1"/>
  <c r="O218" i="5"/>
  <c r="Y171" i="5"/>
  <c r="Z171" i="5" s="1"/>
  <c r="G39" i="3"/>
  <c r="H29" i="3"/>
  <c r="F29" i="3"/>
  <c r="H34" i="3"/>
  <c r="F34" i="3"/>
  <c r="E30" i="3"/>
  <c r="F24" i="3"/>
  <c r="D30" i="3"/>
  <c r="D49" i="3" s="1"/>
  <c r="N214" i="5"/>
  <c r="R214" i="5"/>
  <c r="R219" i="5"/>
  <c r="P136" i="5"/>
  <c r="P216" i="5" s="1"/>
  <c r="N216" i="5"/>
  <c r="N219" i="5" s="1"/>
  <c r="W220" i="5" s="1"/>
  <c r="Y218" i="5"/>
  <c r="O136" i="5"/>
  <c r="P171" i="5"/>
  <c r="Z218" i="5"/>
  <c r="X220" i="5" l="1"/>
  <c r="V220" i="5"/>
  <c r="N220" i="5"/>
  <c r="U220" i="5"/>
  <c r="T220" i="5"/>
  <c r="F30" i="3"/>
  <c r="S220" i="5"/>
  <c r="R220" i="5"/>
  <c r="O216" i="5"/>
  <c r="K54" i="4" l="1"/>
  <c r="I49" i="4"/>
  <c r="I47" i="4"/>
  <c r="E46" i="4"/>
  <c r="G46" i="4" s="1"/>
  <c r="D41" i="4"/>
  <c r="D37" i="4"/>
  <c r="D32" i="4"/>
  <c r="C32" i="4"/>
  <c r="D31" i="4"/>
  <c r="D30" i="4"/>
  <c r="D28" i="4"/>
  <c r="D27" i="4"/>
  <c r="C18" i="4"/>
  <c r="C17" i="4"/>
  <c r="C16" i="4"/>
  <c r="C14" i="4"/>
  <c r="C13" i="4"/>
  <c r="C12" i="4"/>
  <c r="C10" i="4"/>
  <c r="C9" i="4"/>
  <c r="C8" i="4"/>
  <c r="C7" i="4"/>
  <c r="C6" i="4"/>
  <c r="C19" i="4" l="1"/>
  <c r="C11" i="4"/>
  <c r="E32" i="4"/>
  <c r="C15" i="4"/>
  <c r="C50" i="4" l="1"/>
  <c r="C20" i="4"/>
  <c r="F50" i="4"/>
  <c r="D36" i="4" l="1"/>
  <c r="H48" i="4"/>
  <c r="F28" i="4" l="1"/>
  <c r="H28" i="4" l="1"/>
  <c r="I28" i="4" s="1"/>
  <c r="C48" i="4"/>
  <c r="C30" i="4"/>
  <c r="E30" i="4" s="1"/>
  <c r="C40" i="4" l="1"/>
  <c r="D39" i="4"/>
  <c r="C38" i="4"/>
  <c r="C39" i="4"/>
  <c r="D38" i="4"/>
  <c r="E39" i="4" l="1"/>
  <c r="E38" i="4"/>
  <c r="D29" i="4" l="1"/>
  <c r="D33" i="4" s="1"/>
  <c r="C29" i="4" l="1"/>
  <c r="E29" i="4" s="1"/>
  <c r="D47" i="4"/>
  <c r="F30" i="4"/>
  <c r="E47" i="4" l="1"/>
  <c r="G47" i="4" s="1"/>
  <c r="G30" i="4"/>
  <c r="C27" i="4"/>
  <c r="E27" i="4" l="1"/>
  <c r="C36" i="4" l="1"/>
  <c r="E36" i="4" l="1"/>
  <c r="F29" i="4" l="1"/>
  <c r="G29" i="4" s="1"/>
  <c r="F40" i="4" l="1"/>
  <c r="F48" i="4" l="1"/>
  <c r="I48" i="4" l="1"/>
  <c r="F51" i="4"/>
  <c r="D48" i="4" l="1"/>
  <c r="D50" i="4" l="1"/>
  <c r="E50" i="4" s="1"/>
  <c r="G50" i="4" s="1"/>
  <c r="E48" i="4"/>
  <c r="G48" i="4" s="1"/>
  <c r="C41" i="4"/>
  <c r="E41" i="4" s="1"/>
  <c r="D49" i="4" l="1"/>
  <c r="C31" i="4"/>
  <c r="E31" i="4" s="1"/>
  <c r="C28" i="4" l="1"/>
  <c r="F31" i="4"/>
  <c r="C45" i="4"/>
  <c r="E49" i="4"/>
  <c r="G49" i="4" s="1"/>
  <c r="D51" i="4"/>
  <c r="H29" i="4"/>
  <c r="I29" i="4" s="1"/>
  <c r="H31" i="4" l="1"/>
  <c r="I31" i="4" s="1"/>
  <c r="E45" i="4"/>
  <c r="C51" i="4"/>
  <c r="E28" i="4"/>
  <c r="C33" i="4"/>
  <c r="K33" i="4" s="1"/>
  <c r="G31" i="4"/>
  <c r="F27" i="4" l="1"/>
  <c r="G27" i="4" s="1"/>
  <c r="G45" i="4"/>
  <c r="G51" i="4" s="1"/>
  <c r="E51" i="4"/>
  <c r="G28" i="4"/>
  <c r="E33" i="4"/>
  <c r="F36" i="4"/>
  <c r="G36" i="4" s="1"/>
  <c r="H46" i="4" l="1"/>
  <c r="I46" i="4" s="1"/>
  <c r="B10" i="3"/>
  <c r="B19" i="3" s="1"/>
  <c r="H45" i="4" l="1"/>
  <c r="I45" i="4" s="1"/>
  <c r="H41" i="4"/>
  <c r="H27" i="4"/>
  <c r="H37" i="4"/>
  <c r="F37" i="4"/>
  <c r="H39" i="4" l="1"/>
  <c r="F39" i="4"/>
  <c r="F38" i="4"/>
  <c r="G38" i="4" s="1"/>
  <c r="H38" i="4"/>
  <c r="F41" i="4"/>
  <c r="I27" i="4"/>
  <c r="I37" i="4"/>
  <c r="F42" i="4" l="1"/>
  <c r="I39" i="4"/>
  <c r="G39" i="4"/>
  <c r="H40" i="4"/>
  <c r="I40" i="4" s="1"/>
  <c r="H36" i="4"/>
  <c r="I38" i="4"/>
  <c r="I41" i="4"/>
  <c r="G41" i="4"/>
  <c r="D40" i="4" l="1"/>
  <c r="I36" i="4"/>
  <c r="I42" i="4" s="1"/>
  <c r="H42" i="4"/>
  <c r="C37" i="4" l="1"/>
  <c r="C42" i="4" s="1"/>
  <c r="C52" i="4" s="1"/>
  <c r="E37" i="4"/>
  <c r="E40" i="4"/>
  <c r="G40" i="4" s="1"/>
  <c r="D42" i="4"/>
  <c r="D52" i="4" s="1"/>
  <c r="E42" i="4" l="1"/>
  <c r="E52" i="4" s="1"/>
  <c r="G37" i="4"/>
  <c r="G42" i="4" s="1"/>
  <c r="H50" i="4" l="1"/>
  <c r="H51" i="4" l="1"/>
  <c r="I50" i="4"/>
  <c r="I51" i="4" s="1"/>
  <c r="H30" i="4" l="1"/>
  <c r="I30" i="4" s="1"/>
  <c r="H32" i="4"/>
  <c r="H33" i="4" l="1"/>
  <c r="H52" i="4" s="1"/>
  <c r="H53" i="4" s="1"/>
  <c r="F32" i="4" l="1"/>
  <c r="F33" i="4" s="1"/>
  <c r="F52" i="4" s="1"/>
  <c r="F53" i="4" s="1"/>
  <c r="G32" i="4"/>
  <c r="G33" i="4" s="1"/>
  <c r="G52" i="4" s="1"/>
  <c r="G53" i="4" s="1"/>
  <c r="I32" i="4" l="1"/>
  <c r="I33" i="4" s="1"/>
  <c r="I52" i="4" s="1"/>
  <c r="I53" i="4" s="1"/>
  <c r="O190" i="5"/>
  <c r="O191" i="5" l="1"/>
  <c r="P190" i="5"/>
  <c r="P191" i="5" s="1"/>
  <c r="P192" i="5" s="1"/>
  <c r="Z190" i="5"/>
  <c r="Z191" i="5" s="1"/>
  <c r="Z192" i="5" s="1"/>
  <c r="E38" i="3" l="1"/>
  <c r="O192" i="5"/>
  <c r="O217" i="5" s="1"/>
  <c r="O219" i="5" s="1"/>
  <c r="P214" i="5"/>
  <c r="P217" i="5"/>
  <c r="P219" i="5" s="1"/>
  <c r="P220" i="5" s="1"/>
  <c r="H38" i="3" l="1"/>
  <c r="H39" i="3" s="1"/>
  <c r="F38" i="3"/>
  <c r="F39" i="3" s="1"/>
  <c r="F49" i="3" s="1"/>
  <c r="F50" i="3" s="1"/>
  <c r="E39" i="3"/>
  <c r="E49" i="3" s="1"/>
  <c r="O220" i="5"/>
  <c r="O214" i="5"/>
  <c r="Q214" i="5"/>
  <c r="Q217" i="5"/>
  <c r="Q219" i="5" s="1"/>
  <c r="Q220" i="5" s="1"/>
  <c r="J52" i="3" l="1"/>
  <c r="E50" i="3"/>
  <c r="Z217" i="5" l="1"/>
  <c r="Y103" i="5"/>
  <c r="Z103" i="5" l="1"/>
  <c r="Z136" i="5" s="1"/>
  <c r="G24" i="3"/>
  <c r="G30" i="3" s="1"/>
  <c r="Y136" i="5"/>
  <c r="H24" i="3" l="1"/>
  <c r="H30" i="3" s="1"/>
  <c r="G49" i="3"/>
  <c r="G50" i="3" s="1"/>
  <c r="Z216" i="5"/>
  <c r="Z214" i="5"/>
  <c r="Y214" i="5"/>
  <c r="Y216" i="5"/>
  <c r="Z219" i="5" l="1"/>
  <c r="Z220" i="5" s="1"/>
  <c r="Y219" i="5"/>
  <c r="Y220" i="5" s="1"/>
  <c r="H49" i="3"/>
  <c r="H50" i="3" s="1"/>
</calcChain>
</file>

<file path=xl/sharedStrings.xml><?xml version="1.0" encoding="utf-8"?>
<sst xmlns="http://schemas.openxmlformats.org/spreadsheetml/2006/main" count="426" uniqueCount="236">
  <si>
    <t>CANTIDAD</t>
  </si>
  <si>
    <t>PLAZO DE EJECUCION (MESES) O JORNADAS</t>
  </si>
  <si>
    <t>VALOR TOTAL DEL CONVENIO</t>
  </si>
  <si>
    <t>HONORARIOS MES</t>
  </si>
  <si>
    <t>DESCRIPCIÓN</t>
  </si>
  <si>
    <t>TOTAL EJECUCIÓN</t>
  </si>
  <si>
    <t>TOTAL PRESUPUESTO</t>
  </si>
  <si>
    <t>Aprobó:</t>
  </si>
  <si>
    <t>TOTAL COMPROMETIDO</t>
  </si>
  <si>
    <t>SALDO POR COMPROMETER</t>
  </si>
  <si>
    <t xml:space="preserve">Fecha de Inicio:  </t>
  </si>
  <si>
    <t xml:space="preserve">Fecha de Terminación: </t>
  </si>
  <si>
    <t>COMPROMETIDO</t>
  </si>
  <si>
    <t>% Ejecución</t>
  </si>
  <si>
    <t>Contratista</t>
  </si>
  <si>
    <t>Gastos Operativos</t>
  </si>
  <si>
    <t>Revisó:</t>
  </si>
  <si>
    <t>Elaboró:</t>
  </si>
  <si>
    <t>Silvana Cano Arenas</t>
  </si>
  <si>
    <t>Profesional Universitario Código 219 Grado 10</t>
  </si>
  <si>
    <t>Profesional Social</t>
  </si>
  <si>
    <t>Subtotal Transporte</t>
  </si>
  <si>
    <t>%</t>
  </si>
  <si>
    <t>Prendas Distintivas y Elementos de Protección Personal</t>
  </si>
  <si>
    <t>Subtotal Prendas Distintivas y Elementos de Protección Personal</t>
  </si>
  <si>
    <t>Subtotal Gastos Operativos</t>
  </si>
  <si>
    <t>ADICIÓN IDIPRON</t>
  </si>
  <si>
    <t>Transporte</t>
  </si>
  <si>
    <t>Jóvenes Beneficiarios</t>
  </si>
  <si>
    <t xml:space="preserve"> </t>
  </si>
  <si>
    <t>Técnico Operativo</t>
  </si>
  <si>
    <t>Personal Administrativo</t>
  </si>
  <si>
    <t>ADICIÓN SDA</t>
  </si>
  <si>
    <t>ADICIÓN FDLSC</t>
  </si>
  <si>
    <t>Profesional Apoyo Administrativo</t>
  </si>
  <si>
    <t>Subtotal Jovenes</t>
  </si>
  <si>
    <t>Subtotal Herramientas, Insumos y Equipos menores</t>
  </si>
  <si>
    <t>APORTE SDA</t>
  </si>
  <si>
    <t>APORTE FDLSC</t>
  </si>
  <si>
    <t>APORTE IDIPRON</t>
  </si>
  <si>
    <t>DINERO</t>
  </si>
  <si>
    <t>ESPECIE</t>
  </si>
  <si>
    <t xml:space="preserve">DINERO </t>
  </si>
  <si>
    <t>Transporte mayor (Volqueta)</t>
  </si>
  <si>
    <t>Transporte menor (Jóvenes)</t>
  </si>
  <si>
    <t>Transporte (Camión-Camioneta)</t>
  </si>
  <si>
    <t>GL</t>
  </si>
  <si>
    <t>Sede San Cristobal 60%</t>
  </si>
  <si>
    <t>Gastos Administrativos</t>
  </si>
  <si>
    <t>Gasto Financiero GMF 4*1000</t>
  </si>
  <si>
    <t>UN</t>
  </si>
  <si>
    <t>Subtotal Aportes SDA</t>
  </si>
  <si>
    <t>Subtotal Aportes FDLSC</t>
  </si>
  <si>
    <t>Subtotal Aportes IDIPRON</t>
  </si>
  <si>
    <t>Adición aportes SDA</t>
  </si>
  <si>
    <t>Valor Total aportes SDA</t>
  </si>
  <si>
    <t>Adición aportes FDLSC</t>
  </si>
  <si>
    <t>Valor Total aportes FDLSC</t>
  </si>
  <si>
    <t>Adición aportes IDIPRON</t>
  </si>
  <si>
    <t>Valor Total aportes IDIPRON</t>
  </si>
  <si>
    <t>VALOR TOTAL CONVENIO</t>
  </si>
  <si>
    <t>Profesional Coordinador</t>
  </si>
  <si>
    <t>Jovenes</t>
  </si>
  <si>
    <t>Herramientas, Insumos y Equipos menores</t>
  </si>
  <si>
    <t>SDA</t>
  </si>
  <si>
    <t>Valor Inicial Aportes SDA (Efectivo)</t>
  </si>
  <si>
    <t>Valor Inicial Aportes SDA (Especie)</t>
  </si>
  <si>
    <t>Cuentas de Cobro</t>
  </si>
  <si>
    <t>Valor Inicial Aportes FDLSC (Efectivo)</t>
  </si>
  <si>
    <t>Valor Inicial Aportes FDLSC (Especie)</t>
  </si>
  <si>
    <t>Valor Inicial Aportes IDIPRON (Efectivo)</t>
  </si>
  <si>
    <t>Valor Inicial Aportes IDIPRON (Especie)</t>
  </si>
  <si>
    <t>1er Desembolso 40%</t>
  </si>
  <si>
    <t>FDLSC</t>
  </si>
  <si>
    <t>2do Desembolso 30%</t>
  </si>
  <si>
    <t>3er Desembolso 20%</t>
  </si>
  <si>
    <t>4to Desembolso 10%</t>
  </si>
  <si>
    <t>Cuenta de Cobro</t>
  </si>
  <si>
    <t>Valor</t>
  </si>
  <si>
    <t>Mano de obra produccion de material vegetal</t>
  </si>
  <si>
    <t>Herramientas</t>
  </si>
  <si>
    <t>Insumos</t>
  </si>
  <si>
    <t xml:space="preserve">Adecuaciones locativas </t>
  </si>
  <si>
    <t>Identificacion de predios (mentenimiento y restauración)</t>
  </si>
  <si>
    <t>diagnostico y diseño de arreglos floristicos</t>
  </si>
  <si>
    <t>Material vegetal Restauración</t>
  </si>
  <si>
    <t>Material vegetal mantenimiento</t>
  </si>
  <si>
    <t>Insumos restauración</t>
  </si>
  <si>
    <t>Maquinaria Bioextrusora,</t>
  </si>
  <si>
    <t xml:space="preserve">Enlonado material final </t>
  </si>
  <si>
    <t>Enlonado material para chipeado</t>
  </si>
  <si>
    <t>Informe de Ejecución:</t>
  </si>
  <si>
    <t>Fecha de Desembolso</t>
  </si>
  <si>
    <t>Juan Carlos Romero Morales</t>
  </si>
  <si>
    <t>Aportes Secretaría Distrital de Ambiente -SDA</t>
  </si>
  <si>
    <t>Subtotal Personal SDA</t>
  </si>
  <si>
    <t>Subtotal Jóvenes Beneficiarios SDA</t>
  </si>
  <si>
    <t>Subtotal Jóvenes y Personal SDA</t>
  </si>
  <si>
    <t xml:space="preserve">Romero  Morales Juan Carlos </t>
  </si>
  <si>
    <t>Aportes Fondo de Desarrollo Local San Cristóbal - FDL SC</t>
  </si>
  <si>
    <t>Subtotal Personal Fondo de Desarrollo Local San Cristóbal - FDL SC</t>
  </si>
  <si>
    <t>Valor Aportes Fondo de Desarrollo Local San Cristóbal - FDL SC</t>
  </si>
  <si>
    <t>Valor Aportes Secretaría Distrital de Ambiente -SDA</t>
  </si>
  <si>
    <t xml:space="preserve">Valor Aportes Instituto Distrital para la Proteción de la Niñez y la Juventud - IDIPRON </t>
  </si>
  <si>
    <t>TOTAL EJECUTADO</t>
  </si>
  <si>
    <t>APORTES IDIPRON</t>
  </si>
  <si>
    <t>APORTES SDA</t>
  </si>
  <si>
    <t>TOTAL APORTES SDA</t>
  </si>
  <si>
    <t>APORTES FDL SAN CRISTÓBAL</t>
  </si>
  <si>
    <t>TOTAL  FDL SAN CRISTÓBAL</t>
  </si>
  <si>
    <t>Subtotal Jóvenes y Personal Fondo de Desarrollo Local San Cristóbal - FDL SC</t>
  </si>
  <si>
    <t>Gastos Bancarios (transacción estímulo corresponsabilidad)</t>
  </si>
  <si>
    <t>Coordinadora Convenios</t>
  </si>
  <si>
    <t>TOTAL   IDIPRON</t>
  </si>
  <si>
    <t>SALDO POR EJECUTAR RECURSOS COMPROMETIDOS</t>
  </si>
  <si>
    <t>CONVENIO 031/2018 
SUSCRITO ENTRE LA SECRETARIA DISTRITAL DE AMBIENTE - SDA, EL FONDO DE DESARROLLO LOCAL DE SAN CRISTOBAL - FDLSC Y EL IDIPRON</t>
  </si>
  <si>
    <t>EJECUCIÓN CORTE A 30/NOV/2018</t>
  </si>
  <si>
    <t>EJECUCIÓN CORTE A 31/DIC/2018</t>
  </si>
  <si>
    <t>EJECUCIÓN CORTE A 31/ENE/2019</t>
  </si>
  <si>
    <t>EJECUCIÓN CORTE A 28/FEB/2019</t>
  </si>
  <si>
    <t>EJECUCIÓN CORTE A 31/MAR/2019</t>
  </si>
  <si>
    <t>EJECUCIÓN CORTE A 30/ABR/2019</t>
  </si>
  <si>
    <t>EJECUCIÓN CORTE A 31/MAY/2019</t>
  </si>
  <si>
    <t>EJECUCIÓN CORTE A 30/JUN/2019</t>
  </si>
  <si>
    <t>Profesional Financiero</t>
  </si>
  <si>
    <t>Profesional de campo</t>
  </si>
  <si>
    <t>Operario de maquinaria</t>
  </si>
  <si>
    <t>Auxiliar de maquinaria</t>
  </si>
  <si>
    <t>Equipos</t>
  </si>
  <si>
    <t>Ferreteria</t>
  </si>
  <si>
    <t>Combustible (gasolina) + Aceite  (2 tiempos) mantenimiento y restauración</t>
  </si>
  <si>
    <t>Mantenimiento preventivo Chipiadora y bioextrusora-Lubricantes, filtros, engrase.</t>
  </si>
  <si>
    <t>Mantenimiento curativo global equipos.</t>
  </si>
  <si>
    <t>Chipeadoras (2)</t>
  </si>
  <si>
    <t>Maquina Bioextrusora MSZ B 15</t>
  </si>
  <si>
    <t>UND</t>
  </si>
  <si>
    <t>Enlonado (globos y lonas)</t>
  </si>
  <si>
    <t>Enlonado Final Biomasa.</t>
  </si>
  <si>
    <t>Maquinaria pesada</t>
  </si>
  <si>
    <t>Proceso pedagógico IDIPRON
Capacitación, Educación y Recreación)</t>
  </si>
  <si>
    <t xml:space="preserve">Comunicaciones </t>
  </si>
  <si>
    <t>Profesional especializado  (aportes  FDL San cristobal)</t>
  </si>
  <si>
    <t>Ingeniero (Aporte FDL San Cristobal)</t>
  </si>
  <si>
    <t xml:space="preserve">
CONVENIO 031/2018 
                                                                   SUSCRITO ENTRE LA SECRETARIA DISTRITAL DE AMBIENTE - SDA, EL FONDO DE DESARROLLO LOCAL DE SAN CRISTOBAL - FDLSC Y EL IDIPRON</t>
  </si>
  <si>
    <t>Juan Pablo Ramirez G</t>
  </si>
  <si>
    <t>Apoyo a la Supervisión del Convenio 031/2018</t>
  </si>
  <si>
    <t>Apoyo Financiero al Convenio 031/2018</t>
  </si>
  <si>
    <t>RESUMEN EJECUCIÓN DE APORTES - CORTE NOVIEMBRE DE 2018</t>
  </si>
  <si>
    <t>1er Desembolso 15,5%</t>
  </si>
  <si>
    <t>2do Desembolso 54,5%</t>
  </si>
  <si>
    <t>1er Desembolso 50%</t>
  </si>
  <si>
    <t>2do Desembolso 20%</t>
  </si>
  <si>
    <t>Seguimiento Financiero Convenios</t>
  </si>
  <si>
    <t xml:space="preserve">GL </t>
  </si>
  <si>
    <t>Profesional social</t>
  </si>
  <si>
    <t>Prendas distintivas</t>
  </si>
  <si>
    <t>Operario Maquina</t>
  </si>
  <si>
    <t>Orientadores Operativos</t>
  </si>
  <si>
    <t>Orientador Operativo</t>
  </si>
  <si>
    <t>Subtotal Servicio de transporte y maquinaria</t>
  </si>
  <si>
    <t>Aportes IDIPRON</t>
  </si>
  <si>
    <t>Romero  Morales Juan Carlos CPS 1434/2018</t>
  </si>
  <si>
    <t>Martinez Aristizabal Mateo CPS 1432/2018</t>
  </si>
  <si>
    <t>Lina Salazar  CPS 0486/2019</t>
  </si>
  <si>
    <t>Jhan Carlos Salazar cto 0645/2019</t>
  </si>
  <si>
    <t>Jose Giovanni Obando CPS 0340/2019</t>
  </si>
  <si>
    <t>Doris Sandoval CPS 0330/2019</t>
  </si>
  <si>
    <t>Reina Cecilia Villamil CPS 0336/2019</t>
  </si>
  <si>
    <t>Jorge Enrique Correa CPS 0312/2019</t>
  </si>
  <si>
    <t>Luis Gustavo Pineda CPS 0357/2019</t>
  </si>
  <si>
    <t>Noel Alexander Echeverry CPS 0375/2019</t>
  </si>
  <si>
    <t>Jair Castaño Perez CPS 0379/2019</t>
  </si>
  <si>
    <t>Luciano Mendez CPS 0382/2019</t>
  </si>
  <si>
    <t>Sandra Milena Ruiz CPS 0425/2019</t>
  </si>
  <si>
    <t>Eduim Dario Pulido CPS 0349/2019</t>
  </si>
  <si>
    <t>Grelwylkgac Gomez CPS 0468/2019</t>
  </si>
  <si>
    <t>Leydis Alexandra Galeano CPS 0430/2019</t>
  </si>
  <si>
    <t>Luis Fernando Enciso CPS 0684/2019</t>
  </si>
  <si>
    <t>Edison Andrey Peña CPS 0469/2019</t>
  </si>
  <si>
    <t>Miguel Sierra CPS 0428/2019</t>
  </si>
  <si>
    <t>Luis Rodolfo Parra CPS 0538/2019</t>
  </si>
  <si>
    <t>Zulma Natalia Tibocha CPS 0638/2019</t>
  </si>
  <si>
    <t>Sandra Carolina Rojas CPS 0697/2019</t>
  </si>
  <si>
    <t>Camilo Andres Maya CPS 0376/2019</t>
  </si>
  <si>
    <t>Anguie Paola Lopez CPS 0436/2019</t>
  </si>
  <si>
    <t>Rubeth Morales CPS 0467/2019</t>
  </si>
  <si>
    <t>Luis Albeiro Ramirez CPS 0471/2019</t>
  </si>
  <si>
    <t>Yenny Milena Lozano CPS 0497/2019</t>
  </si>
  <si>
    <t>Garzon Crispin Wendy Lorena CPS 1460/2018 (TIEMPO 4,5 MESES)</t>
  </si>
  <si>
    <t>Francisco Garcia Garcia CPS 1443/2018 (TIEMPO 4,5 MESES)</t>
  </si>
  <si>
    <t>Miguel Gonzalez CPS 1436/2018 (TIEMPO 4,5 MESES)</t>
  </si>
  <si>
    <t>Carreño Sanchez Carolina CPS 1437/2018 (TIEMPO 4,5 MESES)</t>
  </si>
  <si>
    <t>Moreno Moreno Andres Noel CPS 1433/2018 (TIEMPO 4,5 MESES)</t>
  </si>
  <si>
    <t>Luis Armando Farfan CPS 0683/2019</t>
  </si>
  <si>
    <t>Eduar Orlando Contreras CPS 0694/2019</t>
  </si>
  <si>
    <t>Sergio Moreno CPS 0714/2019</t>
  </si>
  <si>
    <t>CPS 1568 Union Temporal Idipron Premiun</t>
  </si>
  <si>
    <t xml:space="preserve">Transporte menor (Jóvenes) </t>
  </si>
  <si>
    <t>Coordinador del Convenio 031/2018</t>
  </si>
  <si>
    <t>Contratista CPS 1434/2018</t>
  </si>
  <si>
    <t>Jhan Carlos Salazar M</t>
  </si>
  <si>
    <t>Profesional Financiero Convenio 031/2018</t>
  </si>
  <si>
    <t>Contratista CPS 0645/2018</t>
  </si>
  <si>
    <t xml:space="preserve">Combustible maquinaria procesamiento de residuos vegetales </t>
  </si>
  <si>
    <t>OC 35452/2019 Organización Terpel S.A.</t>
  </si>
  <si>
    <t xml:space="preserve">Combustible (gasolina) + Aceite  (2 tiempos) mantenimiento y restauración </t>
  </si>
  <si>
    <t>CONVENIO 031/2018 
                                                                   SUSCRITO ENTRE LA SECRETARIA DISTRITAL DE AMBIENTE - SDA, EL FONDO DE DESARROLLO LOCAL DE SAN CRISTOBAL - FDLSC Y EL IDIPRON</t>
  </si>
  <si>
    <t>Jairo Rojas CPS 0840/2019</t>
  </si>
  <si>
    <t>Farid Camilo Fuentes CPS 0852/2019</t>
  </si>
  <si>
    <t>Francisco Erazo CPS 0854/2019</t>
  </si>
  <si>
    <t>Daniel Bustos CPS 0838/2019</t>
  </si>
  <si>
    <t>Javier Silva CPS 0894/2019</t>
  </si>
  <si>
    <t>Wendi Zambrano CPS 0876/2019</t>
  </si>
  <si>
    <t>Miguel Gonzalez CPS 1140/2019</t>
  </si>
  <si>
    <t>Francisco Garcia Garcia CPS 1152/2019</t>
  </si>
  <si>
    <t>Carreño Sanchez Carolina CPS 1126/2019</t>
  </si>
  <si>
    <t>Moreno Moreno Andres Noel CPS 1141/2019</t>
  </si>
  <si>
    <t>Paul Rios CPS 1132/2019</t>
  </si>
  <si>
    <t>Jose Suarez CPS 1127/2019</t>
  </si>
  <si>
    <t>Sergio Cuellar CPS 0985/2019</t>
  </si>
  <si>
    <t>Luis Fernando Gutierrez CPS 1131/2019</t>
  </si>
  <si>
    <t>Anderson Celis CPS 0811/2019</t>
  </si>
  <si>
    <t>Daniel Celis Reyes CPS 1045/2019</t>
  </si>
  <si>
    <t>Eduim Reyes Vergara CPS 1129/2019</t>
  </si>
  <si>
    <t>Aura Perez CPS 1004/2019</t>
  </si>
  <si>
    <t>Juan Patiño CPS 0865/2019</t>
  </si>
  <si>
    <t>CS 1555 TEAM CORP S.A.S.</t>
  </si>
  <si>
    <t>Juan Pablo Ramirez Garcia</t>
  </si>
  <si>
    <t>Contratista CPS 1168/2019</t>
  </si>
  <si>
    <t>Angie Maecha</t>
  </si>
  <si>
    <t>Garzon Crispin Wendy Lorena CPS 1179/2019</t>
  </si>
  <si>
    <t>Yuly Jaramillo CPS 1156/2019</t>
  </si>
  <si>
    <t>DETALLE DE LA EJECUCIÓN DEL PRESUPUESTO - MAYO 2019</t>
  </si>
  <si>
    <t>RESUMEN EJECUCIÓN DE APORTES - CORTE ABRIL DE 2019</t>
  </si>
  <si>
    <t>RESUMEN EJECUCIÓN DE APORTES - CORTE ABRIL DE 2018</t>
  </si>
  <si>
    <t>CO 1170 Servicios Ambientales San Marcos S.A.S. Suministro material vejetal.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</si>
</sst>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</numFmts>
  <fonts count="20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u/>
      <sz val="10"/>
      <name val="Arial"/>
      <family val="2"/>
      <charset val="1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  <charset val="1"/>
    </font>
    <font>
      <sz val="11"/>
      <color theme="1"/>
      <name val="Calibri"/>
      <family val="2"/>
      <charset val="1"/>
    </font>
    <font>
      <b/>
      <sz val="10"/>
      <color theme="1"/>
      <name val="Arial"/>
      <family val="2"/>
      <charset val="1"/>
    </font>
    <font>
      <sz val="10"/>
      <color theme="1"/>
      <name val="Arial"/>
      <family val="2"/>
      <charset val="1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6" tint="0.59999389629810485"/>
        <bgColor indexed="64"/>
      </patternFill>
    </fill>
  </fills>
  <borders count="10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auto="1"/>
      </top>
      <bottom style="hair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7">
    <xf numFmtId="0" fontId="0" fillId="0" borderId="0" xfId="0"/>
    <xf numFmtId="166" fontId="0" fillId="0" borderId="0" xfId="3" applyNumberFormat="1" applyFont="1"/>
    <xf numFmtId="0" fontId="0" fillId="0" borderId="0" xfId="0" applyFill="1"/>
    <xf numFmtId="0" fontId="2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6" fillId="0" borderId="0" xfId="0" applyFont="1"/>
    <xf numFmtId="0" fontId="0" fillId="0" borderId="12" xfId="0" applyBorder="1"/>
    <xf numFmtId="0" fontId="0" fillId="0" borderId="0" xfId="0" applyBorder="1"/>
    <xf numFmtId="166" fontId="0" fillId="0" borderId="0" xfId="0" applyNumberFormat="1"/>
    <xf numFmtId="166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3" borderId="39" xfId="2" applyFont="1" applyFill="1" applyBorder="1" applyAlignment="1">
      <alignment horizontal="center" vertical="center" wrapText="1"/>
    </xf>
    <xf numFmtId="0" fontId="1" fillId="0" borderId="40" xfId="2" applyFont="1" applyBorder="1"/>
    <xf numFmtId="0" fontId="1" fillId="0" borderId="41" xfId="2" applyFont="1" applyBorder="1"/>
    <xf numFmtId="0" fontId="4" fillId="0" borderId="0" xfId="2" applyFont="1" applyFill="1" applyBorder="1" applyAlignment="1">
      <alignment horizontal="center" vertical="center" wrapText="1"/>
    </xf>
    <xf numFmtId="166" fontId="7" fillId="0" borderId="1" xfId="3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5" xfId="2" applyFont="1" applyFill="1" applyBorder="1" applyAlignment="1">
      <alignment horizontal="left" vertical="center" wrapText="1"/>
    </xf>
    <xf numFmtId="17" fontId="7" fillId="0" borderId="50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/>
    </xf>
    <xf numFmtId="14" fontId="7" fillId="0" borderId="9" xfId="2" applyNumberFormat="1" applyFont="1" applyFill="1" applyBorder="1" applyAlignment="1">
      <alignment vertical="center" wrapText="1"/>
    </xf>
    <xf numFmtId="0" fontId="4" fillId="0" borderId="51" xfId="2" applyFont="1" applyFill="1" applyBorder="1" applyAlignment="1">
      <alignment horizontal="left" vertical="center"/>
    </xf>
    <xf numFmtId="14" fontId="7" fillId="0" borderId="52" xfId="2" applyNumberFormat="1" applyFont="1" applyFill="1" applyBorder="1" applyAlignment="1">
      <alignment vertical="center" wrapText="1"/>
    </xf>
    <xf numFmtId="0" fontId="4" fillId="0" borderId="53" xfId="2" applyFont="1" applyFill="1" applyBorder="1" applyAlignment="1">
      <alignment horizontal="left" vertical="center"/>
    </xf>
    <xf numFmtId="166" fontId="5" fillId="0" borderId="21" xfId="2" applyNumberFormat="1" applyFont="1" applyFill="1" applyBorder="1" applyAlignment="1">
      <alignment vertical="center" wrapText="1"/>
    </xf>
    <xf numFmtId="166" fontId="5" fillId="0" borderId="38" xfId="2" applyNumberFormat="1" applyFont="1" applyFill="1" applyBorder="1" applyAlignment="1">
      <alignment vertical="center" wrapText="1"/>
    </xf>
    <xf numFmtId="166" fontId="7" fillId="0" borderId="38" xfId="2" applyNumberFormat="1" applyFont="1" applyFill="1" applyBorder="1" applyAlignment="1">
      <alignment vertical="center" wrapText="1"/>
    </xf>
    <xf numFmtId="0" fontId="4" fillId="3" borderId="7" xfId="2" applyFont="1" applyFill="1" applyBorder="1" applyAlignment="1">
      <alignment horizontal="left" vertical="center"/>
    </xf>
    <xf numFmtId="166" fontId="5" fillId="3" borderId="38" xfId="2" applyNumberFormat="1" applyFont="1" applyFill="1" applyBorder="1" applyAlignment="1">
      <alignment vertical="center" wrapText="1"/>
    </xf>
    <xf numFmtId="0" fontId="4" fillId="3" borderId="43" xfId="2" applyFont="1" applyFill="1" applyBorder="1" applyAlignment="1">
      <alignment horizontal="left" vertical="center"/>
    </xf>
    <xf numFmtId="166" fontId="5" fillId="3" borderId="54" xfId="2" applyNumberFormat="1" applyFont="1" applyFill="1" applyBorder="1" applyAlignment="1">
      <alignment vertical="center" wrapText="1"/>
    </xf>
    <xf numFmtId="0" fontId="8" fillId="7" borderId="55" xfId="2" applyFont="1" applyFill="1" applyBorder="1" applyAlignment="1">
      <alignment horizontal="left" vertical="center"/>
    </xf>
    <xf numFmtId="0" fontId="4" fillId="0" borderId="49" xfId="2" applyFont="1" applyFill="1" applyBorder="1" applyAlignment="1">
      <alignment horizontal="left" vertical="center"/>
    </xf>
    <xf numFmtId="0" fontId="7" fillId="0" borderId="38" xfId="2" applyFont="1" applyFill="1" applyBorder="1" applyAlignment="1">
      <alignment horizontal="center" vertical="center" wrapText="1"/>
    </xf>
    <xf numFmtId="166" fontId="7" fillId="0" borderId="11" xfId="3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166" fontId="7" fillId="0" borderId="42" xfId="3" applyNumberFormat="1" applyFont="1" applyFill="1" applyBorder="1" applyAlignment="1">
      <alignment horizontal="center" vertical="center" wrapText="1"/>
    </xf>
    <xf numFmtId="0" fontId="7" fillId="0" borderId="42" xfId="2" applyFont="1" applyFill="1" applyBorder="1" applyAlignment="1">
      <alignment horizontal="center" vertical="center" wrapText="1"/>
    </xf>
    <xf numFmtId="0" fontId="7" fillId="0" borderId="54" xfId="2" applyFont="1" applyFill="1" applyBorder="1" applyAlignment="1">
      <alignment horizontal="center" vertical="center" wrapText="1"/>
    </xf>
    <xf numFmtId="166" fontId="7" fillId="0" borderId="44" xfId="3" applyNumberFormat="1" applyFont="1" applyFill="1" applyBorder="1" applyAlignment="1">
      <alignment horizontal="center" vertical="center" wrapText="1"/>
    </xf>
    <xf numFmtId="0" fontId="7" fillId="0" borderId="44" xfId="2" applyFont="1" applyFill="1" applyBorder="1" applyAlignment="1">
      <alignment horizontal="center" vertical="center" wrapText="1"/>
    </xf>
    <xf numFmtId="0" fontId="4" fillId="0" borderId="57" xfId="2" applyFont="1" applyFill="1" applyBorder="1" applyAlignment="1">
      <alignment horizontal="center" vertical="center" wrapText="1"/>
    </xf>
    <xf numFmtId="0" fontId="5" fillId="0" borderId="57" xfId="2" applyFont="1" applyFill="1" applyBorder="1" applyAlignment="1">
      <alignment horizontal="center" vertical="center"/>
    </xf>
    <xf numFmtId="0" fontId="4" fillId="0" borderId="58" xfId="2" applyFont="1" applyFill="1" applyBorder="1" applyAlignment="1">
      <alignment horizontal="center" vertical="center" wrapText="1"/>
    </xf>
    <xf numFmtId="0" fontId="4" fillId="0" borderId="58" xfId="2" applyFont="1" applyFill="1" applyBorder="1" applyAlignment="1">
      <alignment horizontal="center" vertical="center"/>
    </xf>
    <xf numFmtId="0" fontId="4" fillId="0" borderId="59" xfId="2" applyFont="1" applyFill="1" applyBorder="1" applyAlignment="1">
      <alignment horizontal="center" vertical="center"/>
    </xf>
    <xf numFmtId="14" fontId="7" fillId="0" borderId="56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75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2" fillId="10" borderId="66" xfId="2" applyFont="1" applyFill="1" applyBorder="1" applyAlignment="1">
      <alignment vertical="center" wrapText="1"/>
    </xf>
    <xf numFmtId="0" fontId="2" fillId="10" borderId="2" xfId="2" applyFont="1" applyFill="1" applyBorder="1" applyAlignment="1">
      <alignment vertical="center" wrapText="1"/>
    </xf>
    <xf numFmtId="0" fontId="2" fillId="10" borderId="4" xfId="2" applyFont="1" applyFill="1" applyBorder="1" applyAlignment="1">
      <alignment horizontal="left" vertical="center" wrapText="1"/>
    </xf>
    <xf numFmtId="0" fontId="2" fillId="10" borderId="76" xfId="2" applyFont="1" applyFill="1" applyBorder="1" applyAlignment="1">
      <alignment horizontal="left" vertical="center" wrapText="1"/>
    </xf>
    <xf numFmtId="0" fontId="2" fillId="10" borderId="77" xfId="2" applyFont="1" applyFill="1" applyBorder="1" applyAlignment="1">
      <alignment horizontal="left" vertical="center" wrapText="1"/>
    </xf>
    <xf numFmtId="166" fontId="1" fillId="0" borderId="4" xfId="3" applyNumberFormat="1" applyFont="1" applyBorder="1" applyAlignment="1">
      <alignment horizontal="left"/>
    </xf>
    <xf numFmtId="166" fontId="1" fillId="0" borderId="45" xfId="3" applyNumberFormat="1" applyFont="1" applyBorder="1" applyAlignment="1">
      <alignment horizontal="left"/>
    </xf>
    <xf numFmtId="0" fontId="2" fillId="10" borderId="81" xfId="2" applyFont="1" applyFill="1" applyBorder="1" applyAlignment="1">
      <alignment vertical="center" wrapText="1"/>
    </xf>
    <xf numFmtId="166" fontId="5" fillId="10" borderId="82" xfId="3" applyNumberFormat="1" applyFont="1" applyFill="1" applyBorder="1" applyAlignment="1">
      <alignment horizontal="left" vertical="center" wrapText="1"/>
    </xf>
    <xf numFmtId="166" fontId="5" fillId="10" borderId="83" xfId="3" applyNumberFormat="1" applyFont="1" applyFill="1" applyBorder="1" applyAlignment="1">
      <alignment horizontal="left" vertical="center" wrapText="1"/>
    </xf>
    <xf numFmtId="0" fontId="1" fillId="0" borderId="51" xfId="2" applyFont="1" applyBorder="1"/>
    <xf numFmtId="0" fontId="1" fillId="0" borderId="84" xfId="2" applyFont="1" applyBorder="1"/>
    <xf numFmtId="166" fontId="1" fillId="0" borderId="85" xfId="3" applyNumberFormat="1" applyFont="1" applyBorder="1" applyAlignment="1">
      <alignment horizontal="left"/>
    </xf>
    <xf numFmtId="166" fontId="1" fillId="0" borderId="86" xfId="3" applyNumberFormat="1" applyFont="1" applyBorder="1" applyAlignment="1">
      <alignment horizontal="left"/>
    </xf>
    <xf numFmtId="0" fontId="2" fillId="10" borderId="7" xfId="2" applyFont="1" applyFill="1" applyBorder="1" applyAlignment="1">
      <alignment vertical="center" wrapText="1"/>
    </xf>
    <xf numFmtId="166" fontId="2" fillId="10" borderId="4" xfId="3" applyNumberFormat="1" applyFont="1" applyFill="1" applyBorder="1" applyAlignment="1">
      <alignment horizontal="left" vertical="center" wrapText="1"/>
    </xf>
    <xf numFmtId="166" fontId="2" fillId="10" borderId="76" xfId="3" applyNumberFormat="1" applyFont="1" applyFill="1" applyBorder="1" applyAlignment="1">
      <alignment horizontal="left" vertical="center" wrapText="1"/>
    </xf>
    <xf numFmtId="166" fontId="2" fillId="10" borderId="77" xfId="3" applyNumberFormat="1" applyFont="1" applyFill="1" applyBorder="1" applyAlignment="1">
      <alignment horizontal="left" vertical="center" wrapText="1"/>
    </xf>
    <xf numFmtId="166" fontId="1" fillId="0" borderId="88" xfId="3" applyNumberFormat="1" applyFont="1" applyBorder="1" applyAlignment="1">
      <alignment horizontal="left"/>
    </xf>
    <xf numFmtId="0" fontId="11" fillId="2" borderId="20" xfId="2" applyFont="1" applyFill="1" applyBorder="1"/>
    <xf numFmtId="9" fontId="0" fillId="0" borderId="0" xfId="4" applyNumberFormat="1" applyFont="1" applyAlignment="1">
      <alignment horizontal="center"/>
    </xf>
    <xf numFmtId="0" fontId="2" fillId="10" borderId="92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166" fontId="0" fillId="0" borderId="0" xfId="3" applyNumberFormat="1" applyFont="1" applyFill="1" applyBorder="1" applyAlignment="1">
      <alignment horizontal="left"/>
    </xf>
    <xf numFmtId="166" fontId="1" fillId="0" borderId="0" xfId="3" applyNumberFormat="1" applyFont="1" applyFill="1" applyBorder="1" applyAlignment="1">
      <alignment horizontal="left"/>
    </xf>
    <xf numFmtId="166" fontId="10" fillId="0" borderId="0" xfId="3" applyNumberFormat="1" applyFont="1" applyFill="1" applyBorder="1" applyAlignment="1">
      <alignment horizontal="left" vertical="center"/>
    </xf>
    <xf numFmtId="166" fontId="11" fillId="0" borderId="0" xfId="3" applyNumberFormat="1" applyFont="1" applyFill="1" applyBorder="1" applyAlignment="1">
      <alignment horizontal="left"/>
    </xf>
    <xf numFmtId="9" fontId="0" fillId="0" borderId="0" xfId="4" applyNumberFormat="1" applyFont="1" applyFill="1" applyBorder="1" applyAlignment="1">
      <alignment horizontal="center"/>
    </xf>
    <xf numFmtId="0" fontId="2" fillId="10" borderId="87" xfId="2" applyFont="1" applyFill="1" applyBorder="1" applyAlignment="1">
      <alignment horizontal="left" vertical="center" wrapText="1"/>
    </xf>
    <xf numFmtId="166" fontId="5" fillId="10" borderId="89" xfId="3" applyNumberFormat="1" applyFont="1" applyFill="1" applyBorder="1" applyAlignment="1">
      <alignment horizontal="left" vertical="center" wrapText="1"/>
    </xf>
    <xf numFmtId="166" fontId="1" fillId="0" borderId="93" xfId="3" applyNumberFormat="1" applyFont="1" applyBorder="1" applyAlignment="1">
      <alignment horizontal="left"/>
    </xf>
    <xf numFmtId="166" fontId="2" fillId="10" borderId="87" xfId="3" applyNumberFormat="1" applyFont="1" applyFill="1" applyBorder="1" applyAlignment="1">
      <alignment horizontal="left" vertical="center" wrapText="1"/>
    </xf>
    <xf numFmtId="166" fontId="5" fillId="7" borderId="94" xfId="2" applyNumberFormat="1" applyFont="1" applyFill="1" applyBorder="1" applyAlignment="1">
      <alignment vertical="center" wrapText="1"/>
    </xf>
    <xf numFmtId="166" fontId="11" fillId="2" borderId="90" xfId="2" applyNumberFormat="1" applyFont="1" applyFill="1" applyBorder="1" applyAlignment="1">
      <alignment horizontal="center"/>
    </xf>
    <xf numFmtId="166" fontId="11" fillId="2" borderId="95" xfId="2" applyNumberFormat="1" applyFont="1" applyFill="1" applyBorder="1" applyAlignment="1">
      <alignment horizontal="center"/>
    </xf>
    <xf numFmtId="14" fontId="7" fillId="0" borderId="38" xfId="2" applyNumberFormat="1" applyFont="1" applyFill="1" applyBorder="1" applyAlignment="1">
      <alignment horizontal="center" vertical="center" wrapText="1"/>
    </xf>
    <xf numFmtId="0" fontId="12" fillId="0" borderId="7" xfId="2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vertical="center" wrapText="1"/>
    </xf>
    <xf numFmtId="0" fontId="9" fillId="0" borderId="7" xfId="0" applyFont="1" applyBorder="1"/>
    <xf numFmtId="0" fontId="9" fillId="0" borderId="7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vertical="top" wrapText="1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vertical="top"/>
    </xf>
    <xf numFmtId="0" fontId="9" fillId="6" borderId="7" xfId="0" applyFont="1" applyFill="1" applyBorder="1" applyAlignment="1">
      <alignment horizontal="left" vertical="top" wrapText="1"/>
    </xf>
    <xf numFmtId="0" fontId="12" fillId="6" borderId="7" xfId="0" applyFont="1" applyFill="1" applyBorder="1" applyAlignment="1">
      <alignment horizontal="left" vertical="top" wrapText="1"/>
    </xf>
    <xf numFmtId="166" fontId="12" fillId="0" borderId="1" xfId="3" applyNumberFormat="1" applyFont="1" applyBorder="1" applyAlignment="1">
      <alignment horizontal="center" vertical="center"/>
    </xf>
    <xf numFmtId="0" fontId="14" fillId="0" borderId="0" xfId="0" applyFont="1" applyFill="1"/>
    <xf numFmtId="0" fontId="15" fillId="0" borderId="0" xfId="2" applyFont="1" applyFill="1" applyBorder="1" applyAlignment="1">
      <alignment horizontal="center" vertical="center" wrapText="1"/>
    </xf>
    <xf numFmtId="4" fontId="16" fillId="0" borderId="0" xfId="1" applyNumberFormat="1" applyFont="1" applyFill="1" applyBorder="1" applyAlignment="1">
      <alignment horizontal="center" vertical="center" wrapText="1"/>
    </xf>
    <xf numFmtId="4" fontId="15" fillId="0" borderId="0" xfId="2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/>
    </xf>
    <xf numFmtId="17" fontId="9" fillId="0" borderId="50" xfId="2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9" fillId="0" borderId="7" xfId="2" applyFont="1" applyFill="1" applyBorder="1" applyAlignment="1">
      <alignment horizontal="left" vertical="center"/>
    </xf>
    <xf numFmtId="14" fontId="9" fillId="0" borderId="38" xfId="2" applyNumberFormat="1" applyFont="1" applyFill="1" applyBorder="1" applyAlignment="1">
      <alignment vertical="center" wrapText="1"/>
    </xf>
    <xf numFmtId="0" fontId="14" fillId="0" borderId="0" xfId="0" applyFont="1"/>
    <xf numFmtId="166" fontId="15" fillId="0" borderId="0" xfId="2" applyNumberFormat="1" applyFont="1" applyFill="1" applyBorder="1" applyAlignment="1">
      <alignment horizontal="center" vertical="center" wrapText="1"/>
    </xf>
    <xf numFmtId="0" fontId="9" fillId="0" borderId="60" xfId="2" applyFont="1" applyFill="1" applyBorder="1" applyAlignment="1">
      <alignment horizontal="left" vertical="center"/>
    </xf>
    <xf numFmtId="14" fontId="9" fillId="0" borderId="61" xfId="2" applyNumberFormat="1" applyFont="1" applyFill="1" applyBorder="1" applyAlignment="1">
      <alignment vertical="center" wrapText="1"/>
    </xf>
    <xf numFmtId="0" fontId="9" fillId="0" borderId="62" xfId="2" applyFont="1" applyFill="1" applyBorder="1" applyAlignment="1">
      <alignment horizontal="left" vertical="center"/>
    </xf>
    <xf numFmtId="0" fontId="14" fillId="0" borderId="63" xfId="0" applyFont="1" applyFill="1" applyBorder="1"/>
    <xf numFmtId="0" fontId="9" fillId="0" borderId="53" xfId="2" applyFont="1" applyFill="1" applyBorder="1" applyAlignment="1">
      <alignment horizontal="left" vertical="center"/>
    </xf>
    <xf numFmtId="166" fontId="9" fillId="0" borderId="21" xfId="2" applyNumberFormat="1" applyFont="1" applyFill="1" applyBorder="1" applyAlignment="1">
      <alignment vertical="center" wrapText="1"/>
    </xf>
    <xf numFmtId="166" fontId="9" fillId="0" borderId="38" xfId="2" applyNumberFormat="1" applyFont="1" applyFill="1" applyBorder="1" applyAlignment="1">
      <alignment vertical="center" wrapText="1"/>
    </xf>
    <xf numFmtId="0" fontId="9" fillId="3" borderId="7" xfId="2" applyFont="1" applyFill="1" applyBorder="1" applyAlignment="1">
      <alignment horizontal="left" vertical="center"/>
    </xf>
    <xf numFmtId="166" fontId="9" fillId="3" borderId="38" xfId="2" applyNumberFormat="1" applyFont="1" applyFill="1" applyBorder="1" applyAlignment="1">
      <alignment vertical="center" wrapText="1"/>
    </xf>
    <xf numFmtId="0" fontId="17" fillId="7" borderId="10" xfId="2" applyFont="1" applyFill="1" applyBorder="1" applyAlignment="1">
      <alignment horizontal="left" vertical="center"/>
    </xf>
    <xf numFmtId="166" fontId="9" fillId="7" borderId="22" xfId="2" applyNumberFormat="1" applyFont="1" applyFill="1" applyBorder="1" applyAlignment="1">
      <alignment vertical="center" wrapText="1"/>
    </xf>
    <xf numFmtId="0" fontId="15" fillId="0" borderId="13" xfId="2" applyFont="1" applyFill="1" applyBorder="1" applyAlignment="1">
      <alignment horizontal="left" vertical="center"/>
    </xf>
    <xf numFmtId="166" fontId="18" fillId="0" borderId="0" xfId="2" applyNumberFormat="1" applyFont="1" applyFill="1" applyBorder="1" applyAlignment="1">
      <alignment horizontal="center" vertical="center" wrapText="1"/>
    </xf>
    <xf numFmtId="0" fontId="15" fillId="5" borderId="0" xfId="2" applyFont="1" applyFill="1" applyBorder="1" applyAlignment="1">
      <alignment vertical="center" wrapText="1"/>
    </xf>
    <xf numFmtId="4" fontId="16" fillId="5" borderId="0" xfId="1" applyNumberFormat="1" applyFont="1" applyFill="1" applyBorder="1" applyAlignment="1">
      <alignment vertical="center" wrapText="1"/>
    </xf>
    <xf numFmtId="4" fontId="14" fillId="6" borderId="0" xfId="0" applyNumberFormat="1" applyFont="1" applyFill="1" applyBorder="1"/>
    <xf numFmtId="0" fontId="14" fillId="6" borderId="0" xfId="0" applyFont="1" applyFill="1" applyBorder="1"/>
    <xf numFmtId="0" fontId="14" fillId="6" borderId="0" xfId="0" applyFont="1" applyFill="1"/>
    <xf numFmtId="0" fontId="18" fillId="11" borderId="26" xfId="2" applyFont="1" applyFill="1" applyBorder="1" applyAlignment="1">
      <alignment horizontal="center" vertical="center" wrapText="1"/>
    </xf>
    <xf numFmtId="0" fontId="18" fillId="11" borderId="16" xfId="2" applyFont="1" applyFill="1" applyBorder="1" applyAlignment="1">
      <alignment horizontal="center" vertical="center" wrapText="1"/>
    </xf>
    <xf numFmtId="0" fontId="18" fillId="3" borderId="19" xfId="2" applyFont="1" applyFill="1" applyBorder="1" applyAlignment="1">
      <alignment horizontal="center" vertical="center" wrapText="1"/>
    </xf>
    <xf numFmtId="0" fontId="18" fillId="3" borderId="18" xfId="2" applyFont="1" applyFill="1" applyBorder="1" applyAlignment="1">
      <alignment horizontal="center" vertical="center" wrapText="1"/>
    </xf>
    <xf numFmtId="0" fontId="18" fillId="3" borderId="74" xfId="2" applyFont="1" applyFill="1" applyBorder="1" applyAlignment="1">
      <alignment horizontal="center" vertical="center" wrapText="1"/>
    </xf>
    <xf numFmtId="0" fontId="18" fillId="3" borderId="15" xfId="2" applyFont="1" applyFill="1" applyBorder="1" applyAlignment="1">
      <alignment horizontal="center" vertical="center" wrapText="1"/>
    </xf>
    <xf numFmtId="0" fontId="18" fillId="3" borderId="28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8" fillId="3" borderId="48" xfId="2" applyFont="1" applyFill="1" applyBorder="1" applyAlignment="1">
      <alignment horizontal="center" vertical="center" wrapText="1"/>
    </xf>
    <xf numFmtId="0" fontId="9" fillId="4" borderId="5" xfId="2" applyFont="1" applyFill="1" applyBorder="1"/>
    <xf numFmtId="0" fontId="9" fillId="4" borderId="6" xfId="2" applyFont="1" applyFill="1" applyBorder="1" applyAlignment="1">
      <alignment horizontal="center"/>
    </xf>
    <xf numFmtId="166" fontId="9" fillId="4" borderId="6" xfId="3" applyNumberFormat="1" applyFont="1" applyFill="1" applyBorder="1" applyAlignment="1">
      <alignment horizontal="center"/>
    </xf>
    <xf numFmtId="166" fontId="18" fillId="4" borderId="6" xfId="3" applyNumberFormat="1" applyFont="1" applyFill="1" applyBorder="1" applyAlignment="1">
      <alignment horizontal="center"/>
    </xf>
    <xf numFmtId="166" fontId="9" fillId="4" borderId="6" xfId="3" applyNumberFormat="1" applyFont="1" applyFill="1" applyBorder="1" applyAlignment="1">
      <alignment horizontal="center" vertical="center"/>
    </xf>
    <xf numFmtId="166" fontId="18" fillId="4" borderId="6" xfId="3" applyNumberFormat="1" applyFont="1" applyFill="1" applyBorder="1" applyAlignment="1">
      <alignment horizontal="center" vertical="center"/>
    </xf>
    <xf numFmtId="166" fontId="18" fillId="4" borderId="99" xfId="3" applyNumberFormat="1" applyFont="1" applyFill="1" applyBorder="1" applyAlignment="1">
      <alignment horizontal="center" vertical="center"/>
    </xf>
    <xf numFmtId="166" fontId="18" fillId="4" borderId="98" xfId="3" applyNumberFormat="1" applyFont="1" applyFill="1" applyBorder="1" applyAlignment="1">
      <alignment horizontal="center" vertical="center"/>
    </xf>
    <xf numFmtId="166" fontId="14" fillId="0" borderId="0" xfId="0" applyNumberFormat="1" applyFont="1"/>
    <xf numFmtId="0" fontId="18" fillId="8" borderId="7" xfId="2" applyFont="1" applyFill="1" applyBorder="1"/>
    <xf numFmtId="0" fontId="18" fillId="8" borderId="1" xfId="2" applyFont="1" applyFill="1" applyBorder="1" applyAlignment="1">
      <alignment horizontal="center"/>
    </xf>
    <xf numFmtId="166" fontId="18" fillId="8" borderId="1" xfId="3" applyNumberFormat="1" applyFont="1" applyFill="1" applyBorder="1" applyAlignment="1">
      <alignment horizontal="center"/>
    </xf>
    <xf numFmtId="166" fontId="18" fillId="8" borderId="1" xfId="3" applyNumberFormat="1" applyFont="1" applyFill="1" applyBorder="1" applyAlignment="1">
      <alignment horizontal="center" vertical="center"/>
    </xf>
    <xf numFmtId="166" fontId="18" fillId="8" borderId="9" xfId="3" applyNumberFormat="1" applyFont="1" applyFill="1" applyBorder="1" applyAlignment="1">
      <alignment horizontal="center" vertical="center"/>
    </xf>
    <xf numFmtId="0" fontId="18" fillId="4" borderId="7" xfId="2" applyFont="1" applyFill="1" applyBorder="1"/>
    <xf numFmtId="0" fontId="9" fillId="4" borderId="1" xfId="2" applyFont="1" applyFill="1" applyBorder="1" applyAlignment="1">
      <alignment horizontal="center"/>
    </xf>
    <xf numFmtId="166" fontId="9" fillId="4" borderId="1" xfId="3" applyNumberFormat="1" applyFont="1" applyFill="1" applyBorder="1" applyAlignment="1">
      <alignment horizontal="center"/>
    </xf>
    <xf numFmtId="166" fontId="18" fillId="4" borderId="1" xfId="3" applyNumberFormat="1" applyFont="1" applyFill="1" applyBorder="1" applyAlignment="1">
      <alignment horizontal="center"/>
    </xf>
    <xf numFmtId="166" fontId="9" fillId="4" borderId="1" xfId="3" applyNumberFormat="1" applyFont="1" applyFill="1" applyBorder="1" applyAlignment="1">
      <alignment horizontal="center" vertical="center"/>
    </xf>
    <xf numFmtId="166" fontId="18" fillId="4" borderId="1" xfId="3" applyNumberFormat="1" applyFont="1" applyFill="1" applyBorder="1" applyAlignment="1">
      <alignment horizontal="center" vertical="center"/>
    </xf>
    <xf numFmtId="166" fontId="18" fillId="4" borderId="9" xfId="3" applyNumberFormat="1" applyFont="1" applyFill="1" applyBorder="1" applyAlignment="1">
      <alignment horizontal="center" vertical="center"/>
    </xf>
    <xf numFmtId="0" fontId="9" fillId="0" borderId="7" xfId="2" applyFont="1" applyFill="1" applyBorder="1"/>
    <xf numFmtId="0" fontId="9" fillId="0" borderId="1" xfId="2" applyFont="1" applyBorder="1" applyAlignment="1">
      <alignment horizontal="center"/>
    </xf>
    <xf numFmtId="166" fontId="9" fillId="0" borderId="1" xfId="3" applyNumberFormat="1" applyFont="1" applyBorder="1" applyAlignment="1">
      <alignment horizontal="center"/>
    </xf>
    <xf numFmtId="166" fontId="9" fillId="0" borderId="1" xfId="3" applyNumberFormat="1" applyFont="1" applyFill="1" applyBorder="1" applyAlignment="1">
      <alignment horizontal="center"/>
    </xf>
    <xf numFmtId="166" fontId="9" fillId="0" borderId="1" xfId="3" applyNumberFormat="1" applyFont="1" applyBorder="1" applyAlignment="1">
      <alignment horizontal="center" vertical="center"/>
    </xf>
    <xf numFmtId="166" fontId="9" fillId="0" borderId="1" xfId="3" applyNumberFormat="1" applyFont="1" applyFill="1" applyBorder="1" applyAlignment="1">
      <alignment horizontal="center" vertical="center"/>
    </xf>
    <xf numFmtId="166" fontId="9" fillId="6" borderId="9" xfId="3" applyNumberFormat="1" applyFont="1" applyFill="1" applyBorder="1" applyAlignment="1">
      <alignment horizontal="center" vertical="center"/>
    </xf>
    <xf numFmtId="166" fontId="14" fillId="0" borderId="0" xfId="3" applyNumberFormat="1" applyFont="1"/>
    <xf numFmtId="167" fontId="9" fillId="0" borderId="1" xfId="3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/>
    </xf>
    <xf numFmtId="166" fontId="9" fillId="0" borderId="9" xfId="3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9" fillId="6" borderId="1" xfId="2" applyFont="1" applyFill="1" applyBorder="1" applyAlignment="1">
      <alignment horizontal="center"/>
    </xf>
    <xf numFmtId="166" fontId="9" fillId="6" borderId="1" xfId="3" applyNumberFormat="1" applyFont="1" applyFill="1" applyBorder="1" applyAlignment="1">
      <alignment horizontal="center"/>
    </xf>
    <xf numFmtId="166" fontId="9" fillId="6" borderId="1" xfId="3" applyNumberFormat="1" applyFont="1" applyFill="1" applyBorder="1" applyAlignment="1">
      <alignment horizontal="center" vertical="center"/>
    </xf>
    <xf numFmtId="166" fontId="18" fillId="0" borderId="1" xfId="3" applyNumberFormat="1" applyFont="1" applyFill="1" applyBorder="1" applyAlignment="1">
      <alignment horizontal="center"/>
    </xf>
    <xf numFmtId="166" fontId="18" fillId="0" borderId="1" xfId="3" applyNumberFormat="1" applyFont="1" applyFill="1" applyBorder="1" applyAlignment="1">
      <alignment horizontal="center" vertical="center"/>
    </xf>
    <xf numFmtId="166" fontId="9" fillId="0" borderId="9" xfId="3" applyNumberFormat="1" applyFont="1" applyFill="1" applyBorder="1" applyAlignment="1">
      <alignment horizontal="center" vertical="center"/>
    </xf>
    <xf numFmtId="166" fontId="14" fillId="6" borderId="0" xfId="0" applyNumberFormat="1" applyFont="1" applyFill="1"/>
    <xf numFmtId="166" fontId="18" fillId="0" borderId="9" xfId="3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vertical="center" wrapText="1"/>
    </xf>
    <xf numFmtId="166" fontId="18" fillId="6" borderId="1" xfId="3" applyNumberFormat="1" applyFont="1" applyFill="1" applyBorder="1" applyAlignment="1">
      <alignment horizontal="center" vertical="center"/>
    </xf>
    <xf numFmtId="169" fontId="18" fillId="6" borderId="1" xfId="3" applyNumberFormat="1" applyFont="1" applyFill="1" applyBorder="1" applyAlignment="1">
      <alignment horizontal="center" vertical="center"/>
    </xf>
    <xf numFmtId="0" fontId="9" fillId="6" borderId="7" xfId="2" applyFont="1" applyFill="1" applyBorder="1"/>
    <xf numFmtId="166" fontId="18" fillId="0" borderId="1" xfId="3" applyNumberFormat="1" applyFont="1" applyBorder="1" applyAlignment="1">
      <alignment horizontal="center"/>
    </xf>
    <xf numFmtId="166" fontId="9" fillId="0" borderId="44" xfId="3" applyNumberFormat="1" applyFont="1" applyBorder="1" applyAlignment="1">
      <alignment horizontal="center" vertical="center"/>
    </xf>
    <xf numFmtId="166" fontId="9" fillId="0" borderId="38" xfId="3" applyNumberFormat="1" applyFont="1" applyBorder="1" applyAlignment="1">
      <alignment horizontal="center" vertical="center"/>
    </xf>
    <xf numFmtId="166" fontId="18" fillId="8" borderId="38" xfId="3" applyNumberFormat="1" applyFont="1" applyFill="1" applyBorder="1" applyAlignment="1">
      <alignment horizontal="center" vertical="center"/>
    </xf>
    <xf numFmtId="166" fontId="9" fillId="0" borderId="1" xfId="3" applyNumberFormat="1" applyFont="1" applyFill="1" applyBorder="1" applyAlignment="1">
      <alignment horizontal="right" vertical="center" wrapText="1"/>
    </xf>
    <xf numFmtId="166" fontId="9" fillId="0" borderId="1" xfId="3" applyNumberFormat="1" applyFont="1" applyBorder="1" applyAlignment="1">
      <alignment horizontal="right" vertical="center"/>
    </xf>
    <xf numFmtId="0" fontId="9" fillId="0" borderId="1" xfId="0" applyFont="1" applyBorder="1"/>
    <xf numFmtId="166" fontId="9" fillId="0" borderId="1" xfId="3" applyNumberFormat="1" applyFont="1" applyFill="1" applyBorder="1" applyAlignment="1">
      <alignment horizontal="right" vertical="center"/>
    </xf>
    <xf numFmtId="165" fontId="9" fillId="0" borderId="1" xfId="3" applyFont="1" applyBorder="1" applyAlignment="1">
      <alignment horizontal="right" vertical="center"/>
    </xf>
    <xf numFmtId="166" fontId="9" fillId="0" borderId="1" xfId="3" applyNumberFormat="1" applyFont="1" applyFill="1" applyBorder="1" applyAlignment="1">
      <alignment vertical="center"/>
    </xf>
    <xf numFmtId="0" fontId="9" fillId="8" borderId="1" xfId="2" applyFont="1" applyFill="1" applyBorder="1" applyAlignment="1">
      <alignment horizontal="center"/>
    </xf>
    <xf numFmtId="166" fontId="9" fillId="8" borderId="1" xfId="3" applyNumberFormat="1" applyFont="1" applyFill="1" applyBorder="1" applyAlignment="1">
      <alignment horizontal="center"/>
    </xf>
    <xf numFmtId="166" fontId="18" fillId="6" borderId="38" xfId="3" applyNumberFormat="1" applyFont="1" applyFill="1" applyBorder="1" applyAlignment="1">
      <alignment horizontal="center" vertical="center"/>
    </xf>
    <xf numFmtId="0" fontId="18" fillId="3" borderId="7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8" fillId="3" borderId="38" xfId="2" applyFont="1" applyFill="1" applyBorder="1" applyAlignment="1">
      <alignment horizontal="center" vertical="center" wrapText="1"/>
    </xf>
    <xf numFmtId="166" fontId="9" fillId="6" borderId="38" xfId="3" applyNumberFormat="1" applyFont="1" applyFill="1" applyBorder="1" applyAlignment="1">
      <alignment horizontal="center" vertical="center"/>
    </xf>
    <xf numFmtId="166" fontId="18" fillId="4" borderId="38" xfId="3" applyNumberFormat="1" applyFont="1" applyFill="1" applyBorder="1" applyAlignment="1">
      <alignment horizontal="center" vertical="center"/>
    </xf>
    <xf numFmtId="0" fontId="18" fillId="6" borderId="7" xfId="2" applyFont="1" applyFill="1" applyBorder="1"/>
    <xf numFmtId="0" fontId="19" fillId="0" borderId="0" xfId="0" applyFont="1"/>
    <xf numFmtId="166" fontId="9" fillId="6" borderId="1" xfId="3" applyNumberFormat="1" applyFont="1" applyFill="1" applyBorder="1" applyAlignment="1">
      <alignment horizontal="right" vertical="center" wrapText="1"/>
    </xf>
    <xf numFmtId="166" fontId="9" fillId="6" borderId="1" xfId="3" applyNumberFormat="1" applyFont="1" applyFill="1" applyBorder="1" applyAlignment="1">
      <alignment horizontal="right" vertical="center"/>
    </xf>
    <xf numFmtId="0" fontId="9" fillId="6" borderId="1" xfId="0" applyFont="1" applyFill="1" applyBorder="1"/>
    <xf numFmtId="166" fontId="9" fillId="8" borderId="1" xfId="3" applyNumberFormat="1" applyFont="1" applyFill="1" applyBorder="1" applyAlignment="1">
      <alignment horizontal="center" vertical="center"/>
    </xf>
    <xf numFmtId="0" fontId="9" fillId="4" borderId="7" xfId="2" applyFont="1" applyFill="1" applyBorder="1"/>
    <xf numFmtId="166" fontId="9" fillId="4" borderId="38" xfId="3" applyNumberFormat="1" applyFont="1" applyFill="1" applyBorder="1" applyAlignment="1">
      <alignment horizontal="center" vertical="center"/>
    </xf>
    <xf numFmtId="0" fontId="18" fillId="11" borderId="7" xfId="2" applyFont="1" applyFill="1" applyBorder="1"/>
    <xf numFmtId="0" fontId="9" fillId="11" borderId="1" xfId="2" applyFont="1" applyFill="1" applyBorder="1" applyAlignment="1">
      <alignment horizontal="center"/>
    </xf>
    <xf numFmtId="166" fontId="9" fillId="11" borderId="1" xfId="3" applyNumberFormat="1" applyFont="1" applyFill="1" applyBorder="1" applyAlignment="1">
      <alignment horizontal="center"/>
    </xf>
    <xf numFmtId="166" fontId="9" fillId="11" borderId="1" xfId="3" applyNumberFormat="1" applyFont="1" applyFill="1" applyBorder="1" applyAlignment="1">
      <alignment horizontal="center" vertical="center"/>
    </xf>
    <xf numFmtId="166" fontId="18" fillId="11" borderId="1" xfId="3" applyNumberFormat="1" applyFont="1" applyFill="1" applyBorder="1" applyAlignment="1">
      <alignment horizontal="center" vertical="center"/>
    </xf>
    <xf numFmtId="166" fontId="18" fillId="11" borderId="1" xfId="3" applyNumberFormat="1" applyFont="1" applyFill="1" applyBorder="1" applyAlignment="1">
      <alignment horizontal="center"/>
    </xf>
    <xf numFmtId="0" fontId="18" fillId="0" borderId="7" xfId="2" applyFont="1" applyFill="1" applyBorder="1"/>
    <xf numFmtId="166" fontId="9" fillId="0" borderId="38" xfId="3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166" fontId="14" fillId="0" borderId="0" xfId="0" applyNumberFormat="1" applyFont="1" applyFill="1" applyBorder="1"/>
    <xf numFmtId="0" fontId="18" fillId="2" borderId="7" xfId="2" applyFont="1" applyFill="1" applyBorder="1" applyAlignment="1">
      <alignment horizontal="left" vertical="center"/>
    </xf>
    <xf numFmtId="0" fontId="18" fillId="2" borderId="1" xfId="2" applyFont="1" applyFill="1" applyBorder="1" applyAlignment="1">
      <alignment horizontal="center" vertical="center"/>
    </xf>
    <xf numFmtId="166" fontId="18" fillId="2" borderId="1" xfId="3" applyNumberFormat="1" applyFont="1" applyFill="1" applyBorder="1" applyAlignment="1">
      <alignment horizontal="center" vertical="center"/>
    </xf>
    <xf numFmtId="166" fontId="18" fillId="2" borderId="38" xfId="3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8" fillId="9" borderId="7" xfId="3" applyNumberFormat="1" applyFont="1" applyFill="1" applyBorder="1" applyAlignment="1">
      <alignment horizontal="left" vertical="center"/>
    </xf>
    <xf numFmtId="166" fontId="18" fillId="9" borderId="1" xfId="3" applyNumberFormat="1" applyFont="1" applyFill="1" applyBorder="1" applyAlignment="1">
      <alignment horizontal="center" vertical="center"/>
    </xf>
    <xf numFmtId="166" fontId="18" fillId="9" borderId="38" xfId="3" applyNumberFormat="1" applyFont="1" applyFill="1" applyBorder="1" applyAlignment="1">
      <alignment horizontal="center" vertical="center"/>
    </xf>
    <xf numFmtId="166" fontId="14" fillId="0" borderId="0" xfId="3" applyNumberFormat="1" applyFont="1" applyAlignment="1">
      <alignment horizontal="left" vertical="center"/>
    </xf>
    <xf numFmtId="166" fontId="9" fillId="0" borderId="10" xfId="3" applyNumberFormat="1" applyFont="1" applyBorder="1" applyAlignment="1">
      <alignment horizontal="center"/>
    </xf>
    <xf numFmtId="166" fontId="9" fillId="0" borderId="11" xfId="3" applyNumberFormat="1" applyFont="1" applyBorder="1"/>
    <xf numFmtId="9" fontId="9" fillId="0" borderId="11" xfId="4" applyFont="1" applyBorder="1"/>
    <xf numFmtId="9" fontId="9" fillId="0" borderId="22" xfId="4" applyFont="1" applyBorder="1"/>
    <xf numFmtId="166" fontId="9" fillId="0" borderId="0" xfId="3" applyNumberFormat="1" applyFont="1" applyAlignment="1">
      <alignment horizontal="center"/>
    </xf>
    <xf numFmtId="166" fontId="9" fillId="0" borderId="0" xfId="3" applyNumberFormat="1" applyFont="1"/>
    <xf numFmtId="9" fontId="9" fillId="0" borderId="0" xfId="4" applyFont="1"/>
    <xf numFmtId="3" fontId="9" fillId="0" borderId="0" xfId="4" applyNumberFormat="1" applyFont="1"/>
    <xf numFmtId="166" fontId="9" fillId="0" borderId="0" xfId="4" applyNumberFormat="1" applyFont="1"/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left" wrapText="1"/>
    </xf>
    <xf numFmtId="168" fontId="14" fillId="0" borderId="0" xfId="3" applyNumberFormat="1" applyFont="1" applyBorder="1"/>
    <xf numFmtId="4" fontId="14" fillId="0" borderId="0" xfId="1" applyNumberFormat="1" applyFont="1" applyBorder="1"/>
    <xf numFmtId="4" fontId="14" fillId="0" borderId="0" xfId="0" applyNumberFormat="1" applyFont="1"/>
    <xf numFmtId="168" fontId="14" fillId="0" borderId="0" xfId="1" applyNumberFormat="1" applyFont="1" applyBorder="1"/>
    <xf numFmtId="168" fontId="14" fillId="0" borderId="0" xfId="1" applyNumberFormat="1" applyFont="1"/>
    <xf numFmtId="4" fontId="14" fillId="0" borderId="0" xfId="1" applyNumberFormat="1" applyFont="1"/>
    <xf numFmtId="166" fontId="7" fillId="0" borderId="1" xfId="3" applyNumberFormat="1" applyFont="1" applyBorder="1" applyAlignment="1">
      <alignment horizontal="center" vertical="center"/>
    </xf>
    <xf numFmtId="166" fontId="7" fillId="6" borderId="1" xfId="3" applyNumberFormat="1" applyFont="1" applyFill="1" applyBorder="1" applyAlignment="1">
      <alignment horizontal="center" vertical="center"/>
    </xf>
    <xf numFmtId="166" fontId="7" fillId="0" borderId="1" xfId="3" applyNumberFormat="1" applyFont="1" applyFill="1" applyBorder="1" applyAlignment="1">
      <alignment horizontal="center" vertical="center"/>
    </xf>
    <xf numFmtId="0" fontId="4" fillId="0" borderId="100" xfId="2" applyFont="1" applyFill="1" applyBorder="1" applyAlignment="1">
      <alignment horizontal="center" vertical="center"/>
    </xf>
    <xf numFmtId="166" fontId="7" fillId="4" borderId="6" xfId="3" applyNumberFormat="1" applyFont="1" applyFill="1" applyBorder="1" applyAlignment="1">
      <alignment horizontal="center" vertical="center"/>
    </xf>
    <xf numFmtId="166" fontId="5" fillId="8" borderId="1" xfId="3" applyNumberFormat="1" applyFont="1" applyFill="1" applyBorder="1" applyAlignment="1">
      <alignment horizontal="center" vertical="center"/>
    </xf>
    <xf numFmtId="166" fontId="5" fillId="4" borderId="1" xfId="3" applyNumberFormat="1" applyFont="1" applyFill="1" applyBorder="1" applyAlignment="1">
      <alignment horizontal="center" vertical="center"/>
    </xf>
    <xf numFmtId="166" fontId="5" fillId="0" borderId="1" xfId="3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166" fontId="7" fillId="4" borderId="1" xfId="3" applyNumberFormat="1" applyFont="1" applyFill="1" applyBorder="1" applyAlignment="1">
      <alignment horizontal="center" vertical="center"/>
    </xf>
    <xf numFmtId="166" fontId="7" fillId="11" borderId="1" xfId="3" applyNumberFormat="1" applyFont="1" applyFill="1" applyBorder="1" applyAlignment="1">
      <alignment horizontal="center"/>
    </xf>
    <xf numFmtId="166" fontId="5" fillId="11" borderId="1" xfId="3" applyNumberFormat="1" applyFont="1" applyFill="1" applyBorder="1" applyAlignment="1">
      <alignment horizontal="center"/>
    </xf>
    <xf numFmtId="166" fontId="7" fillId="6" borderId="1" xfId="3" applyNumberFormat="1" applyFont="1" applyFill="1" applyBorder="1" applyAlignment="1">
      <alignment horizontal="center"/>
    </xf>
    <xf numFmtId="166" fontId="5" fillId="4" borderId="1" xfId="3" applyNumberFormat="1" applyFont="1" applyFill="1" applyBorder="1" applyAlignment="1">
      <alignment horizontal="center"/>
    </xf>
    <xf numFmtId="166" fontId="5" fillId="6" borderId="1" xfId="3" applyNumberFormat="1" applyFont="1" applyFill="1" applyBorder="1" applyAlignment="1">
      <alignment horizontal="center"/>
    </xf>
    <xf numFmtId="166" fontId="7" fillId="4" borderId="1" xfId="3" applyNumberFormat="1" applyFont="1" applyFill="1" applyBorder="1" applyAlignment="1">
      <alignment horizontal="center"/>
    </xf>
    <xf numFmtId="166" fontId="5" fillId="2" borderId="1" xfId="3" applyNumberFormat="1" applyFont="1" applyFill="1" applyBorder="1" applyAlignment="1">
      <alignment horizontal="center" vertical="center"/>
    </xf>
    <xf numFmtId="166" fontId="5" fillId="9" borderId="1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2" fillId="0" borderId="7" xfId="0" applyFont="1" applyFill="1" applyBorder="1"/>
    <xf numFmtId="166" fontId="12" fillId="0" borderId="1" xfId="3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5" fillId="3" borderId="78" xfId="2" applyFont="1" applyFill="1" applyBorder="1" applyAlignment="1">
      <alignment horizontal="center" vertical="center" wrapText="1"/>
    </xf>
    <xf numFmtId="0" fontId="5" fillId="3" borderId="80" xfId="2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right"/>
    </xf>
    <xf numFmtId="0" fontId="4" fillId="0" borderId="79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91" xfId="2" applyFont="1" applyFill="1" applyBorder="1" applyAlignment="1">
      <alignment horizontal="center" vertical="center" wrapText="1"/>
    </xf>
    <xf numFmtId="0" fontId="7" fillId="0" borderId="64" xfId="2" applyFont="1" applyFill="1" applyBorder="1" applyAlignment="1">
      <alignment horizontal="center" vertical="center"/>
    </xf>
    <xf numFmtId="0" fontId="7" fillId="0" borderId="65" xfId="2" applyFont="1" applyFill="1" applyBorder="1" applyAlignment="1">
      <alignment horizontal="center" vertical="center"/>
    </xf>
    <xf numFmtId="0" fontId="7" fillId="0" borderId="66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4" fillId="0" borderId="72" xfId="2" applyFont="1" applyFill="1" applyBorder="1" applyAlignment="1">
      <alignment horizontal="center" vertical="center" wrapText="1"/>
    </xf>
    <xf numFmtId="0" fontId="4" fillId="0" borderId="73" xfId="2" applyFont="1" applyFill="1" applyBorder="1" applyAlignment="1">
      <alignment horizontal="center" vertical="center" wrapText="1"/>
    </xf>
    <xf numFmtId="0" fontId="4" fillId="0" borderId="69" xfId="2" applyFont="1" applyFill="1" applyBorder="1" applyAlignment="1">
      <alignment horizontal="center" vertical="center" wrapText="1"/>
    </xf>
    <xf numFmtId="0" fontId="4" fillId="0" borderId="70" xfId="2" applyFont="1" applyFill="1" applyBorder="1" applyAlignment="1">
      <alignment horizontal="center" vertical="center" wrapText="1"/>
    </xf>
    <xf numFmtId="0" fontId="7" fillId="0" borderId="71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8" fillId="11" borderId="29" xfId="2" applyFont="1" applyFill="1" applyBorder="1" applyAlignment="1">
      <alignment horizontal="center" vertical="center" wrapText="1"/>
    </xf>
    <xf numFmtId="0" fontId="18" fillId="11" borderId="36" xfId="2" applyFont="1" applyFill="1" applyBorder="1" applyAlignment="1">
      <alignment horizontal="center" vertical="center" wrapText="1"/>
    </xf>
    <xf numFmtId="0" fontId="18" fillId="11" borderId="30" xfId="2" applyFont="1" applyFill="1" applyBorder="1" applyAlignment="1">
      <alignment horizontal="center" vertical="center" wrapText="1"/>
    </xf>
    <xf numFmtId="0" fontId="18" fillId="11" borderId="16" xfId="2" applyFont="1" applyFill="1" applyBorder="1" applyAlignment="1">
      <alignment horizontal="center" vertical="center" wrapText="1"/>
    </xf>
    <xf numFmtId="0" fontId="18" fillId="11" borderId="31" xfId="2" applyFont="1" applyFill="1" applyBorder="1" applyAlignment="1">
      <alignment horizontal="center" vertical="center" wrapText="1"/>
    </xf>
    <xf numFmtId="0" fontId="18" fillId="11" borderId="25" xfId="2" applyFont="1" applyFill="1" applyBorder="1" applyAlignment="1">
      <alignment horizontal="center" vertical="center" wrapText="1"/>
    </xf>
    <xf numFmtId="0" fontId="18" fillId="11" borderId="32" xfId="2" applyFont="1" applyFill="1" applyBorder="1" applyAlignment="1">
      <alignment horizontal="center" vertical="center" wrapText="1"/>
    </xf>
    <xf numFmtId="0" fontId="18" fillId="11" borderId="33" xfId="2" applyFont="1" applyFill="1" applyBorder="1" applyAlignment="1">
      <alignment horizontal="center" vertical="center" wrapText="1"/>
    </xf>
    <xf numFmtId="0" fontId="18" fillId="11" borderId="27" xfId="2" applyFont="1" applyFill="1" applyBorder="1" applyAlignment="1">
      <alignment horizontal="center" vertical="center" wrapText="1"/>
    </xf>
    <xf numFmtId="0" fontId="18" fillId="11" borderId="96" xfId="2" applyFont="1" applyFill="1" applyBorder="1" applyAlignment="1">
      <alignment horizontal="center" vertical="center" wrapText="1"/>
    </xf>
    <xf numFmtId="0" fontId="18" fillId="11" borderId="97" xfId="2" applyFont="1" applyFill="1" applyBorder="1" applyAlignment="1">
      <alignment horizontal="center" vertical="center" wrapText="1"/>
    </xf>
    <xf numFmtId="0" fontId="18" fillId="11" borderId="46" xfId="2" applyFont="1" applyFill="1" applyBorder="1" applyAlignment="1">
      <alignment horizontal="center" vertical="center" wrapText="1"/>
    </xf>
    <xf numFmtId="0" fontId="18" fillId="11" borderId="47" xfId="2" applyFont="1" applyFill="1" applyBorder="1" applyAlignment="1">
      <alignment horizontal="center" vertical="center" wrapText="1"/>
    </xf>
    <xf numFmtId="0" fontId="18" fillId="11" borderId="34" xfId="2" applyFont="1" applyFill="1" applyBorder="1" applyAlignment="1">
      <alignment horizontal="center" vertical="center" wrapText="1"/>
    </xf>
    <xf numFmtId="0" fontId="18" fillId="11" borderId="24" xfId="2" applyFont="1" applyFill="1" applyBorder="1" applyAlignment="1">
      <alignment horizontal="center" vertical="center" wrapText="1"/>
    </xf>
    <xf numFmtId="0" fontId="18" fillId="11" borderId="35" xfId="2" applyFont="1" applyFill="1" applyBorder="1" applyAlignment="1">
      <alignment horizontal="center" vertical="center" wrapText="1"/>
    </xf>
    <xf numFmtId="0" fontId="18" fillId="11" borderId="37" xfId="2" applyFont="1" applyFill="1" applyBorder="1" applyAlignment="1">
      <alignment horizontal="center" vertical="center" wrapText="1"/>
    </xf>
    <xf numFmtId="0" fontId="7" fillId="0" borderId="67" xfId="2" applyFont="1" applyFill="1" applyBorder="1" applyAlignment="1">
      <alignment horizontal="center" vertical="center"/>
    </xf>
    <xf numFmtId="0" fontId="7" fillId="0" borderId="68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</cellXfs>
  <cellStyles count="5">
    <cellStyle name="Millares" xfId="3" builtinId="3"/>
    <cellStyle name="Moneda" xfId="1" builtinId="4"/>
    <cellStyle name="Normal" xfId="0" builtinId="0"/>
    <cellStyle name="Porcentaje" xfId="4" builtinId="5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63877</xdr:colOff>
      <xdr:row>0</xdr:row>
      <xdr:rowOff>121025</xdr:rowOff>
    </xdr:from>
    <xdr:to>
      <xdr:col>0</xdr:col>
      <xdr:colOff>1673601</xdr:colOff>
      <xdr:row>0</xdr:row>
      <xdr:rowOff>619527</xdr:rowOff>
    </xdr:to>
    <xdr:pic>
      <xdr:nvPicPr>
        <xdr:cNvPr id="4" name="2 Imagen" descr="http://www.hospitalfontibon.gov.co/images/logos/Logos_alcaldia_Ene07-POLI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02" y="121025"/>
          <a:ext cx="1609724" cy="498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</xdr:rowOff>
    </xdr:from>
    <xdr:to>
      <xdr:col>0</xdr:col>
      <xdr:colOff>2143125</xdr:colOff>
      <xdr:row>2</xdr:row>
      <xdr:rowOff>18320</xdr:rowOff>
    </xdr:to>
    <xdr:pic>
      <xdr:nvPicPr>
        <xdr:cNvPr id="2" name="1 Imagen" descr="http://www.hospitalfontibon.gov.co/images/logos/Logos_alcaldia_Ene07-POLI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9525"/>
          <a:ext cx="2028824" cy="713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781050</xdr:colOff>
      <xdr:row>35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6117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235327</xdr:colOff>
      <xdr:row>0</xdr:row>
      <xdr:rowOff>44825</xdr:rowOff>
    </xdr:from>
    <xdr:to>
      <xdr:col>1</xdr:col>
      <xdr:colOff>1568826</xdr:colOff>
      <xdr:row>0</xdr:row>
      <xdr:rowOff>543327</xdr:rowOff>
    </xdr:to>
    <xdr:pic>
      <xdr:nvPicPr>
        <xdr:cNvPr id="2" name="2 Imagen" descr="http://www.hospitalfontibon.gov.co/images/logos/Logos_alcaldia_Ene07-POLI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7" y="44825"/>
          <a:ext cx="1609724" cy="498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ompartida/Inf%20Seguimiento%20a%20Convenios/Seguimiento%20Financiero%20a%20Convenios%202017/Convenios%20Vigentes%202017/Convenio%20Idiger%20345-2017/Informes/2018/Informe%20Febrero-18%20IDIGER%20345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INFORME GENERAL"/>
    </sheetNames>
    <sheetDataSet>
      <sheetData sheetId="0">
        <row r="64">
          <cell r="F64">
            <v>0</v>
          </cell>
        </row>
        <row r="69">
          <cell r="F69">
            <v>0</v>
          </cell>
        </row>
        <row r="77">
          <cell r="F77">
            <v>0</v>
          </cell>
        </row>
        <row r="78">
          <cell r="F78">
            <v>0</v>
          </cell>
        </row>
        <row r="80">
          <cell r="F80">
            <v>0</v>
          </cell>
        </row>
        <row r="83">
          <cell r="F8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4"/>
  <sheetViews>
    <sheetView view="pageBreakPreview" topLeftCell="A40" zoomScaleSheetLayoutView="100" workbookViewId="0">
      <selection activeCell="A2" sqref="A2:H2"/>
    </sheetView>
  </sheetViews>
  <sheetFormatPr baseColWidth="10" defaultColWidth="9.140625" defaultRowHeight="15" x14ac:dyDescent="0.25"/>
  <cols>
    <col min="1" max="1" width="48.7109375" bestFit="1" customWidth="1"/>
    <col min="2" max="2" width="15.5703125" customWidth="1"/>
    <col min="3" max="3" width="15.5703125" bestFit="1" customWidth="1"/>
    <col min="4" max="4" width="17.85546875" customWidth="1"/>
    <col min="5" max="5" width="16.85546875" customWidth="1"/>
    <col min="6" max="6" width="17.85546875" customWidth="1"/>
    <col min="7" max="7" width="20.42578125" customWidth="1"/>
    <col min="8" max="8" width="23.140625" customWidth="1"/>
    <col min="9" max="18" width="19.140625" customWidth="1"/>
    <col min="19" max="19" width="17.7109375" customWidth="1"/>
    <col min="20" max="20" width="15" customWidth="1"/>
    <col min="21" max="21" width="3.5703125" customWidth="1"/>
    <col min="22" max="22" width="19.140625" bestFit="1" customWidth="1"/>
    <col min="23" max="25" width="18.5703125" customWidth="1"/>
    <col min="26" max="26" width="18" bestFit="1" customWidth="1"/>
    <col min="27" max="27" width="15.5703125" customWidth="1"/>
    <col min="28" max="28" width="13.140625" style="1" bestFit="1" customWidth="1"/>
  </cols>
  <sheetData>
    <row r="1" spans="1:52" s="2" customFormat="1" ht="70.5" customHeight="1" x14ac:dyDescent="0.25">
      <c r="A1" s="277" t="s">
        <v>206</v>
      </c>
      <c r="B1" s="277"/>
      <c r="C1" s="277"/>
      <c r="D1" s="277"/>
      <c r="E1" s="277"/>
      <c r="F1" s="277"/>
      <c r="G1" s="277"/>
      <c r="H1" s="27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52" s="2" customFormat="1" ht="15" customHeight="1" x14ac:dyDescent="0.25">
      <c r="A2" s="294" t="s">
        <v>233</v>
      </c>
      <c r="B2" s="294"/>
      <c r="C2" s="294"/>
      <c r="D2" s="294"/>
      <c r="E2" s="294"/>
      <c r="F2" s="294"/>
      <c r="G2" s="294"/>
      <c r="H2" s="294"/>
      <c r="I2" s="11"/>
      <c r="J2" s="51"/>
      <c r="K2" s="52"/>
      <c r="L2" s="51"/>
      <c r="M2" s="51"/>
      <c r="N2" s="51"/>
      <c r="O2" s="50"/>
      <c r="P2" s="52"/>
      <c r="Q2" s="51"/>
      <c r="R2" s="51"/>
      <c r="S2" s="11"/>
      <c r="T2" s="11"/>
      <c r="U2" s="11"/>
      <c r="V2" s="10"/>
      <c r="W2" s="10"/>
      <c r="X2" s="10"/>
      <c r="Y2" s="10"/>
      <c r="Z2" s="10"/>
      <c r="AA2" s="10"/>
      <c r="AB2" s="10"/>
      <c r="AC2" s="10"/>
    </row>
    <row r="3" spans="1:52" s="2" customFormat="1" ht="5.25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10"/>
      <c r="AC3" s="10"/>
    </row>
    <row r="4" spans="1:52" s="2" customFormat="1" ht="15" customHeight="1" thickBot="1" x14ac:dyDescent="0.3">
      <c r="A4" s="19" t="s">
        <v>91</v>
      </c>
      <c r="B4" s="20">
        <f>+'DETALLE ABRIL'!B5</f>
        <v>43585</v>
      </c>
      <c r="C4" s="10"/>
      <c r="D4" s="10"/>
      <c r="E4" s="11"/>
      <c r="F4" s="11"/>
      <c r="G4" s="11"/>
      <c r="H4" s="11"/>
      <c r="I4" s="11"/>
      <c r="J4" s="51"/>
      <c r="K4" s="52"/>
      <c r="L4" s="51"/>
      <c r="M4" s="51"/>
      <c r="N4" s="51"/>
      <c r="O4" s="50"/>
      <c r="P4" s="52"/>
      <c r="Q4" s="51"/>
      <c r="R4" s="51"/>
      <c r="S4" s="11"/>
      <c r="T4" s="11"/>
      <c r="U4" s="11"/>
      <c r="V4" s="10"/>
      <c r="W4" s="10"/>
      <c r="X4" s="10"/>
      <c r="Y4" s="10"/>
      <c r="Z4" s="10"/>
      <c r="AA4" s="10"/>
      <c r="AB4" s="10"/>
      <c r="AC4" s="10"/>
    </row>
    <row r="5" spans="1:52" s="2" customFormat="1" ht="15" customHeight="1" thickBot="1" x14ac:dyDescent="0.3">
      <c r="A5" s="21" t="s">
        <v>10</v>
      </c>
      <c r="B5" s="22">
        <f>+'DETALLE ABRIL'!B6</f>
        <v>43405</v>
      </c>
      <c r="C5" s="11"/>
      <c r="D5" s="34" t="s">
        <v>67</v>
      </c>
      <c r="E5" s="11"/>
      <c r="F5" s="11"/>
      <c r="G5" s="11"/>
      <c r="H5" s="11"/>
      <c r="I5" s="11"/>
      <c r="J5" s="51"/>
      <c r="K5" s="52"/>
      <c r="L5" s="51"/>
      <c r="M5" s="51"/>
      <c r="N5" s="51"/>
      <c r="O5" s="50"/>
      <c r="P5" s="52"/>
      <c r="Q5" s="51"/>
      <c r="R5" s="51"/>
      <c r="S5" s="11"/>
      <c r="T5" s="11"/>
      <c r="U5" s="11"/>
      <c r="V5" s="11"/>
      <c r="W5" s="11"/>
      <c r="X5" s="11"/>
      <c r="Y5" s="11"/>
      <c r="Z5" s="11"/>
      <c r="AA5" s="11"/>
      <c r="AB5" s="11"/>
      <c r="AC5" s="9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s="2" customFormat="1" ht="15.75" customHeight="1" thickBot="1" x14ac:dyDescent="0.3">
      <c r="A6" s="23" t="s">
        <v>11</v>
      </c>
      <c r="B6" s="24">
        <f>+'DETALLE ABRIL'!B7</f>
        <v>43769</v>
      </c>
      <c r="C6" s="11"/>
      <c r="E6" s="11"/>
      <c r="F6" s="11"/>
      <c r="G6" s="11"/>
      <c r="H6" s="11"/>
      <c r="I6" s="11"/>
      <c r="J6" s="51"/>
      <c r="K6" s="52"/>
      <c r="L6" s="51"/>
      <c r="M6" s="51"/>
      <c r="N6" s="51"/>
      <c r="O6" s="50"/>
      <c r="P6" s="52"/>
      <c r="Q6" s="51"/>
      <c r="R6" s="51"/>
      <c r="S6" s="11"/>
      <c r="T6" s="11"/>
      <c r="U6" s="11"/>
      <c r="V6" s="11"/>
      <c r="W6" s="11"/>
      <c r="X6" s="11"/>
      <c r="Y6" s="11"/>
      <c r="Z6" s="11"/>
      <c r="AA6" s="11"/>
      <c r="AB6" s="11"/>
      <c r="AC6" s="9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s="2" customFormat="1" ht="15.75" customHeight="1" x14ac:dyDescent="0.25">
      <c r="A7" s="25" t="s">
        <v>65</v>
      </c>
      <c r="B7" s="26">
        <f>+'DETALLE ABRIL'!B9</f>
        <v>5061050262</v>
      </c>
      <c r="C7" s="95"/>
      <c r="D7" s="288" t="s">
        <v>64</v>
      </c>
      <c r="E7" s="289"/>
      <c r="F7" s="46" t="s">
        <v>78</v>
      </c>
      <c r="G7" s="47" t="s">
        <v>77</v>
      </c>
      <c r="H7" s="48" t="s">
        <v>92</v>
      </c>
      <c r="I7" s="11"/>
      <c r="J7" s="51"/>
      <c r="K7" s="52"/>
      <c r="L7" s="51"/>
      <c r="M7" s="51"/>
      <c r="N7" s="51"/>
      <c r="O7" s="50"/>
      <c r="P7" s="52"/>
      <c r="Q7" s="51"/>
      <c r="R7" s="5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s="2" customFormat="1" ht="15.75" customHeight="1" x14ac:dyDescent="0.25">
      <c r="A8" s="21" t="s">
        <v>66</v>
      </c>
      <c r="B8" s="27">
        <f>+'DETALLE ABRIL'!B10</f>
        <v>252150000</v>
      </c>
      <c r="C8" s="15"/>
      <c r="D8" s="284" t="s">
        <v>148</v>
      </c>
      <c r="E8" s="285"/>
      <c r="F8" s="42">
        <v>784462791</v>
      </c>
      <c r="G8" s="43">
        <v>1870</v>
      </c>
      <c r="H8" s="49">
        <v>43461</v>
      </c>
      <c r="I8" s="15"/>
      <c r="J8" s="51"/>
      <c r="K8" s="52"/>
      <c r="L8" s="51"/>
      <c r="M8" s="51"/>
      <c r="N8" s="51"/>
      <c r="O8" s="50"/>
      <c r="P8" s="52"/>
      <c r="Q8" s="51"/>
      <c r="R8" s="51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2" customFormat="1" ht="15.75" customHeight="1" x14ac:dyDescent="0.25">
      <c r="A9" s="21" t="s">
        <v>54</v>
      </c>
      <c r="B9" s="28">
        <v>0</v>
      </c>
      <c r="C9" s="11"/>
      <c r="D9" s="286" t="s">
        <v>149</v>
      </c>
      <c r="E9" s="287"/>
      <c r="F9" s="16">
        <v>2758272393</v>
      </c>
      <c r="G9" s="17">
        <v>1884</v>
      </c>
      <c r="H9" s="93">
        <v>43543</v>
      </c>
      <c r="I9" s="11"/>
      <c r="J9" s="51"/>
      <c r="K9" s="52"/>
      <c r="L9" s="51"/>
      <c r="M9" s="51"/>
      <c r="N9" s="51"/>
      <c r="O9" s="50"/>
      <c r="P9" s="52"/>
      <c r="Q9" s="51"/>
      <c r="R9" s="5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s="2" customFormat="1" ht="15.75" customHeight="1" x14ac:dyDescent="0.25">
      <c r="A10" s="29" t="s">
        <v>55</v>
      </c>
      <c r="B10" s="30">
        <f>+B7+B8+B9</f>
        <v>5313200262</v>
      </c>
      <c r="C10" s="15"/>
      <c r="D10" s="286" t="s">
        <v>75</v>
      </c>
      <c r="E10" s="287"/>
      <c r="F10" s="16"/>
      <c r="G10" s="17"/>
      <c r="H10" s="35"/>
      <c r="I10" s="11"/>
      <c r="J10" s="51"/>
      <c r="K10" s="52"/>
      <c r="L10" s="51"/>
      <c r="M10" s="51"/>
      <c r="N10" s="51"/>
      <c r="O10" s="50"/>
      <c r="P10" s="52"/>
      <c r="Q10" s="51"/>
      <c r="R10" s="5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s="2" customFormat="1" ht="15.75" customHeight="1" x14ac:dyDescent="0.25">
      <c r="A11" s="21" t="s">
        <v>68</v>
      </c>
      <c r="B11" s="27">
        <f>+'DETALLE ABRIL'!B13</f>
        <v>549603455</v>
      </c>
      <c r="C11" s="15"/>
      <c r="D11" s="286" t="s">
        <v>76</v>
      </c>
      <c r="E11" s="287"/>
      <c r="F11" s="39"/>
      <c r="G11" s="40"/>
      <c r="H11" s="41"/>
      <c r="I11" s="11"/>
      <c r="J11" s="51"/>
      <c r="K11" s="52"/>
      <c r="L11" s="51"/>
      <c r="M11" s="51"/>
      <c r="N11" s="51"/>
      <c r="O11" s="50"/>
      <c r="P11" s="52"/>
      <c r="Q11" s="51"/>
      <c r="R11" s="5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s="2" customFormat="1" ht="15.75" customHeight="1" x14ac:dyDescent="0.25">
      <c r="A12" s="21" t="s">
        <v>69</v>
      </c>
      <c r="B12" s="27">
        <f>+'DETALLE ABRIL'!B14</f>
        <v>841486313</v>
      </c>
      <c r="C12" s="15"/>
      <c r="D12" s="290" t="s">
        <v>73</v>
      </c>
      <c r="E12" s="291"/>
      <c r="F12" s="44" t="s">
        <v>78</v>
      </c>
      <c r="G12" s="45" t="s">
        <v>77</v>
      </c>
      <c r="H12" s="259" t="s">
        <v>92</v>
      </c>
      <c r="I12" s="15"/>
      <c r="J12" s="51"/>
      <c r="K12" s="52"/>
      <c r="L12" s="51"/>
      <c r="M12" s="51"/>
      <c r="N12" s="51"/>
      <c r="O12" s="50"/>
      <c r="P12" s="52"/>
      <c r="Q12" s="51"/>
      <c r="R12" s="51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s="2" customFormat="1" ht="15.75" customHeight="1" x14ac:dyDescent="0.25">
      <c r="A13" s="21" t="s">
        <v>56</v>
      </c>
      <c r="B13" s="28">
        <v>0</v>
      </c>
      <c r="C13" s="15"/>
      <c r="D13" s="284" t="s">
        <v>150</v>
      </c>
      <c r="E13" s="285"/>
      <c r="F13" s="42">
        <v>274801727</v>
      </c>
      <c r="G13" s="43">
        <v>1869</v>
      </c>
      <c r="H13" s="49">
        <v>43461</v>
      </c>
      <c r="I13" s="11"/>
      <c r="J13" s="51"/>
      <c r="K13" s="52"/>
      <c r="L13" s="51"/>
      <c r="M13" s="51"/>
      <c r="N13" s="51"/>
      <c r="O13" s="50"/>
      <c r="P13" s="52"/>
      <c r="Q13" s="51"/>
      <c r="R13" s="5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2" s="2" customFormat="1" ht="15.75" customHeight="1" x14ac:dyDescent="0.25">
      <c r="A14" s="29" t="s">
        <v>57</v>
      </c>
      <c r="B14" s="30">
        <f>+B11+B12+B13</f>
        <v>1391089768</v>
      </c>
      <c r="C14" s="15"/>
      <c r="D14" s="286" t="s">
        <v>151</v>
      </c>
      <c r="E14" s="287"/>
      <c r="F14" s="16">
        <v>109920691</v>
      </c>
      <c r="G14" s="17">
        <v>1885</v>
      </c>
      <c r="H14" s="93">
        <v>43543</v>
      </c>
      <c r="I14" s="11"/>
      <c r="J14" s="51"/>
      <c r="K14" s="52"/>
      <c r="L14" s="51"/>
      <c r="M14" s="51"/>
      <c r="N14" s="51"/>
      <c r="O14" s="50"/>
      <c r="P14" s="52"/>
      <c r="Q14" s="51"/>
      <c r="R14" s="5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52" s="2" customFormat="1" ht="15.75" customHeight="1" x14ac:dyDescent="0.25">
      <c r="A15" s="21" t="s">
        <v>70</v>
      </c>
      <c r="B15" s="27">
        <f>+'DETALLE ABRIL'!B17</f>
        <v>87410000</v>
      </c>
      <c r="C15" s="15"/>
      <c r="D15" s="286" t="s">
        <v>75</v>
      </c>
      <c r="E15" s="287"/>
      <c r="F15" s="16"/>
      <c r="G15" s="16"/>
      <c r="H15" s="35"/>
      <c r="I15" s="11"/>
      <c r="J15" s="51"/>
      <c r="K15" s="52"/>
      <c r="L15" s="51"/>
      <c r="M15" s="51"/>
      <c r="N15" s="51"/>
      <c r="O15" s="50"/>
      <c r="P15" s="52"/>
      <c r="Q15" s="51"/>
      <c r="R15" s="5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s="2" customFormat="1" ht="15.75" customHeight="1" thickBot="1" x14ac:dyDescent="0.3">
      <c r="A16" s="21" t="s">
        <v>71</v>
      </c>
      <c r="B16" s="27">
        <f>+'DETALLE ABRIL'!B18</f>
        <v>2750081597</v>
      </c>
      <c r="C16" s="15"/>
      <c r="D16" s="292" t="s">
        <v>76</v>
      </c>
      <c r="E16" s="293"/>
      <c r="F16" s="36"/>
      <c r="G16" s="37"/>
      <c r="H16" s="38"/>
      <c r="I16" s="15"/>
      <c r="J16" s="51"/>
      <c r="K16" s="52"/>
      <c r="L16" s="51"/>
      <c r="M16" s="51"/>
      <c r="N16" s="51"/>
      <c r="O16" s="50"/>
      <c r="P16" s="52"/>
      <c r="Q16" s="51"/>
      <c r="R16" s="51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s="2" customFormat="1" ht="15.75" customHeight="1" x14ac:dyDescent="0.25">
      <c r="A17" s="21" t="s">
        <v>58</v>
      </c>
      <c r="B17" s="28">
        <v>0</v>
      </c>
      <c r="C17" s="15"/>
      <c r="D17" s="11"/>
      <c r="E17" s="11"/>
      <c r="F17" s="11"/>
      <c r="G17" s="11"/>
      <c r="H17" s="11"/>
      <c r="I17" s="11"/>
      <c r="J17" s="51"/>
      <c r="K17" s="52"/>
      <c r="L17" s="51"/>
      <c r="M17" s="51"/>
      <c r="N17" s="51"/>
      <c r="O17" s="50"/>
      <c r="P17" s="52"/>
      <c r="Q17" s="51"/>
      <c r="R17" s="51"/>
      <c r="S17" s="11"/>
      <c r="T17" s="11"/>
      <c r="U17" s="11"/>
      <c r="V17" s="15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s="2" customFormat="1" ht="15.75" customHeight="1" x14ac:dyDescent="0.25">
      <c r="A18" s="31" t="s">
        <v>59</v>
      </c>
      <c r="B18" s="32">
        <f>+B15+B16+B17</f>
        <v>2837491597</v>
      </c>
      <c r="C18" s="15"/>
      <c r="D18" s="11"/>
      <c r="E18" s="11"/>
      <c r="F18" s="11"/>
      <c r="G18" s="11"/>
      <c r="H18" s="11"/>
      <c r="I18" s="11"/>
      <c r="J18" s="51"/>
      <c r="K18" s="52"/>
      <c r="L18" s="51"/>
      <c r="M18" s="51"/>
      <c r="N18" s="51"/>
      <c r="O18" s="50"/>
      <c r="P18" s="52"/>
      <c r="Q18" s="51"/>
      <c r="R18" s="5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s="2" customFormat="1" ht="15.75" customHeight="1" thickBot="1" x14ac:dyDescent="0.3">
      <c r="A19" s="33" t="s">
        <v>60</v>
      </c>
      <c r="B19" s="90">
        <f>+B10+B14+B18</f>
        <v>9541781627</v>
      </c>
      <c r="C19" s="15"/>
      <c r="D19" s="11"/>
      <c r="E19" s="11"/>
      <c r="F19" s="11"/>
      <c r="G19" s="11"/>
      <c r="H19" s="11"/>
      <c r="I19" s="11"/>
      <c r="J19" s="51"/>
      <c r="K19" s="52"/>
      <c r="L19" s="51"/>
      <c r="M19" s="51"/>
      <c r="N19" s="51"/>
      <c r="O19" s="50"/>
      <c r="P19" s="52"/>
      <c r="Q19" s="51"/>
      <c r="R19" s="5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s="2" customFormat="1" ht="6.75" customHeight="1" thickBot="1" x14ac:dyDescent="0.3">
      <c r="A20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ht="15.75" customHeight="1" thickBot="1" x14ac:dyDescent="0.3">
      <c r="A21" s="278" t="s">
        <v>4</v>
      </c>
      <c r="B21" s="281" t="s">
        <v>234</v>
      </c>
      <c r="C21" s="282"/>
      <c r="D21" s="282"/>
      <c r="E21" s="282"/>
      <c r="F21" s="282"/>
      <c r="G21" s="282"/>
      <c r="H21" s="283"/>
      <c r="I21" s="4"/>
    </row>
    <row r="22" spans="1:52" ht="38.25" x14ac:dyDescent="0.25">
      <c r="A22" s="279"/>
      <c r="B22" s="12" t="s">
        <v>40</v>
      </c>
      <c r="C22" s="53" t="s">
        <v>41</v>
      </c>
      <c r="D22" s="55" t="s">
        <v>6</v>
      </c>
      <c r="E22" s="56" t="s">
        <v>8</v>
      </c>
      <c r="F22" s="56" t="s">
        <v>9</v>
      </c>
      <c r="G22" s="56" t="s">
        <v>104</v>
      </c>
      <c r="H22" s="57" t="s">
        <v>114</v>
      </c>
      <c r="I22" s="80"/>
    </row>
    <row r="23" spans="1:52" x14ac:dyDescent="0.25">
      <c r="A23" s="58" t="s">
        <v>106</v>
      </c>
      <c r="B23" s="79"/>
      <c r="C23" s="60"/>
      <c r="D23" s="61"/>
      <c r="E23" s="61"/>
      <c r="F23" s="62"/>
      <c r="G23" s="62"/>
      <c r="H23" s="86"/>
      <c r="I23" s="81"/>
    </row>
    <row r="24" spans="1:52" x14ac:dyDescent="0.25">
      <c r="A24" s="13" t="s">
        <v>31</v>
      </c>
      <c r="B24" s="63">
        <f>+'DETALLE ABRIL'!E102</f>
        <v>892145000</v>
      </c>
      <c r="C24" s="63">
        <v>0</v>
      </c>
      <c r="D24" s="63">
        <f t="shared" ref="D24:D29" si="0">B24+C24</f>
        <v>892145000</v>
      </c>
      <c r="E24" s="63">
        <f>+'DETALLE ABRIL'!O102</f>
        <v>867177500</v>
      </c>
      <c r="F24" s="64">
        <f t="shared" ref="F24:F29" si="1">D24-E24</f>
        <v>24967500</v>
      </c>
      <c r="G24" s="64">
        <f>+'DETALLE ABRIL'!Y102</f>
        <v>267427630.25</v>
      </c>
      <c r="H24" s="76">
        <f>+E24-G24</f>
        <v>599749869.75</v>
      </c>
      <c r="I24" s="82"/>
    </row>
    <row r="25" spans="1:52" x14ac:dyDescent="0.25">
      <c r="A25" s="13" t="s">
        <v>62</v>
      </c>
      <c r="B25" s="63">
        <f>+'DETALLE ABRIL'!E28</f>
        <v>2710800000</v>
      </c>
      <c r="C25" s="63">
        <v>0</v>
      </c>
      <c r="D25" s="63">
        <f t="shared" si="0"/>
        <v>2710800000</v>
      </c>
      <c r="E25" s="63">
        <f>+'DETALLE ABRIL'!O27</f>
        <v>621640800</v>
      </c>
      <c r="F25" s="64">
        <f t="shared" si="1"/>
        <v>2089159200</v>
      </c>
      <c r="G25" s="64">
        <f>+'DETALLE ABRIL'!Y28</f>
        <v>621640800</v>
      </c>
      <c r="H25" s="76">
        <f t="shared" ref="H25:H29" si="2">+E25-G25</f>
        <v>0</v>
      </c>
      <c r="I25" s="82"/>
    </row>
    <row r="26" spans="1:52" x14ac:dyDescent="0.25">
      <c r="A26" s="13" t="s">
        <v>63</v>
      </c>
      <c r="B26" s="63">
        <f>+'DETALLE ABRIL'!E125</f>
        <v>417613251.13199997</v>
      </c>
      <c r="C26" s="63">
        <f>+'DETALLE ABRIL'!F125</f>
        <v>252150000</v>
      </c>
      <c r="D26" s="63">
        <f t="shared" si="0"/>
        <v>669763251.13199997</v>
      </c>
      <c r="E26" s="63">
        <f>+'DETALLE ABRIL'!O125</f>
        <v>228353362</v>
      </c>
      <c r="F26" s="64">
        <f t="shared" si="1"/>
        <v>441409889.13199997</v>
      </c>
      <c r="G26" s="64">
        <f>+'DETALLE ABRIL'!Y125</f>
        <v>92769893.040000007</v>
      </c>
      <c r="H26" s="76">
        <f t="shared" si="2"/>
        <v>135583468.95999998</v>
      </c>
      <c r="I26" s="82"/>
    </row>
    <row r="27" spans="1:52" x14ac:dyDescent="0.25">
      <c r="A27" s="13" t="s">
        <v>27</v>
      </c>
      <c r="B27" s="63">
        <f>+'DETALLE ABRIL'!E129</f>
        <v>924523896</v>
      </c>
      <c r="C27" s="63">
        <v>0</v>
      </c>
      <c r="D27" s="63">
        <f t="shared" si="0"/>
        <v>924523896</v>
      </c>
      <c r="E27" s="63">
        <f>+'DETALLE ABRIL'!O129</f>
        <v>776523896</v>
      </c>
      <c r="F27" s="64">
        <f t="shared" si="1"/>
        <v>148000000</v>
      </c>
      <c r="G27" s="64">
        <f>+'DETALLE ABRIL'!Y129</f>
        <v>303183533.55999994</v>
      </c>
      <c r="H27" s="76">
        <f t="shared" si="2"/>
        <v>473340362.44000006</v>
      </c>
      <c r="I27" s="82"/>
    </row>
    <row r="28" spans="1:52" x14ac:dyDescent="0.25">
      <c r="A28" s="13" t="s">
        <v>23</v>
      </c>
      <c r="B28" s="63">
        <f>+'DETALLE ABRIL'!E132</f>
        <v>80348000</v>
      </c>
      <c r="C28" s="63">
        <v>0</v>
      </c>
      <c r="D28" s="63">
        <f t="shared" si="0"/>
        <v>80348000</v>
      </c>
      <c r="E28" s="63">
        <f>+'DETALLE ABRIL'!O132</f>
        <v>80348000</v>
      </c>
      <c r="F28" s="64">
        <f t="shared" si="1"/>
        <v>0</v>
      </c>
      <c r="G28" s="64">
        <f>+'DETALLE ABRIL'!Y132</f>
        <v>55060010</v>
      </c>
      <c r="H28" s="76">
        <f t="shared" si="2"/>
        <v>25287990</v>
      </c>
      <c r="I28" s="82"/>
    </row>
    <row r="29" spans="1:52" ht="15.75" thickBot="1" x14ac:dyDescent="0.3">
      <c r="A29" s="14" t="s">
        <v>15</v>
      </c>
      <c r="B29" s="63">
        <f>+'DETALLE ABRIL'!E135+'DETALLE ABRIL'!E210</f>
        <v>35620115</v>
      </c>
      <c r="C29" s="63">
        <v>0</v>
      </c>
      <c r="D29" s="63">
        <f t="shared" si="0"/>
        <v>35620115</v>
      </c>
      <c r="E29" s="63">
        <f>+'DETALLE ABRIL'!O135</f>
        <v>7763591.1639999999</v>
      </c>
      <c r="F29" s="64">
        <f t="shared" si="1"/>
        <v>27856523.835999999</v>
      </c>
      <c r="G29" s="64">
        <f>+'DETALLE ABRIL'!Y135</f>
        <v>7763591.1639999999</v>
      </c>
      <c r="H29" s="76">
        <f t="shared" si="2"/>
        <v>0</v>
      </c>
      <c r="I29" s="82"/>
    </row>
    <row r="30" spans="1:52" ht="16.5" thickTop="1" thickBot="1" x14ac:dyDescent="0.3">
      <c r="A30" s="65" t="s">
        <v>107</v>
      </c>
      <c r="B30" s="66">
        <f t="shared" ref="B30:E30" si="3">SUM(B24:B29)</f>
        <v>5061050262.132</v>
      </c>
      <c r="C30" s="66">
        <f>SUM(C24:C29)</f>
        <v>252150000</v>
      </c>
      <c r="D30" s="66">
        <f t="shared" si="3"/>
        <v>5313200262.132</v>
      </c>
      <c r="E30" s="66">
        <f t="shared" si="3"/>
        <v>2581807149.164</v>
      </c>
      <c r="F30" s="67">
        <f>SUM(F24:F29)</f>
        <v>2731393112.9679999</v>
      </c>
      <c r="G30" s="67">
        <f>SUM(G24:G29)</f>
        <v>1347845458.0139999</v>
      </c>
      <c r="H30" s="87">
        <f>SUM(H24:H29)</f>
        <v>1233961691.1500001</v>
      </c>
      <c r="I30" s="83"/>
      <c r="J30" s="8"/>
    </row>
    <row r="31" spans="1:52" ht="15.75" thickTop="1" x14ac:dyDescent="0.25">
      <c r="A31" s="68"/>
      <c r="B31" s="69"/>
      <c r="C31" s="70"/>
      <c r="D31" s="70"/>
      <c r="E31" s="70"/>
      <c r="F31" s="71"/>
      <c r="G31" s="71"/>
      <c r="H31" s="88"/>
      <c r="I31" s="82"/>
    </row>
    <row r="32" spans="1:52" x14ac:dyDescent="0.25">
      <c r="A32" s="58" t="s">
        <v>108</v>
      </c>
      <c r="B32" s="79"/>
      <c r="C32" s="60"/>
      <c r="D32" s="61"/>
      <c r="E32" s="61"/>
      <c r="F32" s="62"/>
      <c r="G32" s="62"/>
      <c r="H32" s="86"/>
      <c r="I32" s="82"/>
    </row>
    <row r="33" spans="1:11" x14ac:dyDescent="0.25">
      <c r="A33" s="13" t="s">
        <v>31</v>
      </c>
      <c r="B33" s="63">
        <f>+'DETALLE ABRIL'!H170</f>
        <v>140695000</v>
      </c>
      <c r="C33" s="63">
        <f>+'DETALLE ABRIL'!I170</f>
        <v>0</v>
      </c>
      <c r="D33" s="63">
        <f t="shared" ref="D33:D38" si="4">B33+C33</f>
        <v>140695000</v>
      </c>
      <c r="E33" s="63">
        <f>+'DETALLE ABRIL'!O170</f>
        <v>140695000</v>
      </c>
      <c r="F33" s="64">
        <f t="shared" ref="F33:F38" si="5">D33-E33</f>
        <v>0</v>
      </c>
      <c r="G33" s="64">
        <f>+'DETALLE ABRIL'!Y170</f>
        <v>42557036.75</v>
      </c>
      <c r="H33" s="76">
        <f t="shared" ref="H33:H38" si="6">+E33-G33</f>
        <v>98137963.25</v>
      </c>
      <c r="I33" s="82"/>
    </row>
    <row r="34" spans="1:11" x14ac:dyDescent="0.25">
      <c r="A34" s="13" t="s">
        <v>62</v>
      </c>
      <c r="B34" s="63">
        <f>+'DETALLE ABRIL'!H139</f>
        <v>176400000</v>
      </c>
      <c r="C34" s="63">
        <f>+'DETALLE ABRIL'!I139</f>
        <v>0</v>
      </c>
      <c r="D34" s="63">
        <f t="shared" si="4"/>
        <v>176400000</v>
      </c>
      <c r="E34" s="63">
        <f>+'DETALLE ABRIL'!O139</f>
        <v>39679200</v>
      </c>
      <c r="F34" s="64">
        <f t="shared" si="5"/>
        <v>136720800</v>
      </c>
      <c r="G34" s="64">
        <f>+'DETALLE ABRIL'!Y139</f>
        <v>39679200</v>
      </c>
      <c r="H34" s="76">
        <f t="shared" si="6"/>
        <v>0</v>
      </c>
      <c r="I34" s="82"/>
    </row>
    <row r="35" spans="1:11" x14ac:dyDescent="0.25">
      <c r="A35" s="13" t="s">
        <v>63</v>
      </c>
      <c r="B35" s="63">
        <f>+'DETALLE ABRIL'!H183</f>
        <v>184337500</v>
      </c>
      <c r="C35" s="63">
        <f>+'DETALLE ABRIL'!I183</f>
        <v>691486313</v>
      </c>
      <c r="D35" s="63">
        <f t="shared" si="4"/>
        <v>875823813</v>
      </c>
      <c r="E35" s="63">
        <f>+'DETALLE ABRIL'!O183</f>
        <v>204189768</v>
      </c>
      <c r="F35" s="64">
        <f t="shared" si="5"/>
        <v>671634045</v>
      </c>
      <c r="G35" s="64">
        <f>+'DETALLE ABRIL'!Y183</f>
        <v>179074281.96000001</v>
      </c>
      <c r="H35" s="76">
        <f t="shared" si="6"/>
        <v>25115486.039999992</v>
      </c>
      <c r="I35" s="82"/>
    </row>
    <row r="36" spans="1:11" x14ac:dyDescent="0.25">
      <c r="A36" s="13" t="s">
        <v>27</v>
      </c>
      <c r="B36" s="63">
        <f>+'DETALLE ABRIL'!H189</f>
        <v>47313455</v>
      </c>
      <c r="C36" s="63">
        <f>+'DETALLE ABRIL'!I189</f>
        <v>150000000</v>
      </c>
      <c r="D36" s="63">
        <f t="shared" si="4"/>
        <v>197313455</v>
      </c>
      <c r="E36" s="63">
        <f>+'DETALLE ABRIL'!O189</f>
        <v>52993455</v>
      </c>
      <c r="F36" s="64">
        <f t="shared" si="5"/>
        <v>144320000</v>
      </c>
      <c r="G36" s="64">
        <f>+'DETALLE ABRIL'!Y189</f>
        <v>27032140.439999998</v>
      </c>
      <c r="H36" s="76">
        <f t="shared" si="6"/>
        <v>25961314.560000002</v>
      </c>
      <c r="I36" s="82"/>
    </row>
    <row r="37" spans="1:11" x14ac:dyDescent="0.25">
      <c r="A37" s="13" t="s">
        <v>23</v>
      </c>
      <c r="B37" s="63">
        <v>0</v>
      </c>
      <c r="C37" s="63">
        <v>0</v>
      </c>
      <c r="D37" s="63">
        <f t="shared" si="4"/>
        <v>0</v>
      </c>
      <c r="E37" s="63">
        <v>0</v>
      </c>
      <c r="F37" s="64">
        <f t="shared" si="5"/>
        <v>0</v>
      </c>
      <c r="G37" s="64">
        <v>0</v>
      </c>
      <c r="H37" s="76">
        <f t="shared" si="6"/>
        <v>0</v>
      </c>
      <c r="I37" s="82"/>
    </row>
    <row r="38" spans="1:11" ht="15.75" thickBot="1" x14ac:dyDescent="0.3">
      <c r="A38" s="14" t="s">
        <v>15</v>
      </c>
      <c r="B38" s="63">
        <f>+'DETALLE ABRIL'!H191</f>
        <v>857500</v>
      </c>
      <c r="C38" s="63">
        <f>+'DETALLE ABRIL'!I191</f>
        <v>0</v>
      </c>
      <c r="D38" s="63">
        <f t="shared" si="4"/>
        <v>857500</v>
      </c>
      <c r="E38" s="63">
        <f>+'DETALLE ABRIL'!O191</f>
        <v>295260</v>
      </c>
      <c r="F38" s="64">
        <f t="shared" si="5"/>
        <v>562240</v>
      </c>
      <c r="G38" s="64">
        <f>+'DETALLE ABRIL'!Y191</f>
        <v>295260</v>
      </c>
      <c r="H38" s="76">
        <f t="shared" si="6"/>
        <v>0</v>
      </c>
      <c r="I38" s="82"/>
    </row>
    <row r="39" spans="1:11" ht="16.5" thickTop="1" thickBot="1" x14ac:dyDescent="0.3">
      <c r="A39" s="65" t="s">
        <v>109</v>
      </c>
      <c r="B39" s="66">
        <f>SUM(B33:B38)</f>
        <v>549603455</v>
      </c>
      <c r="C39" s="66">
        <f>SUM(C33:C38)</f>
        <v>841486313</v>
      </c>
      <c r="D39" s="66">
        <f t="shared" ref="D39:H39" si="7">SUM(D33:D38)</f>
        <v>1391089768</v>
      </c>
      <c r="E39" s="66">
        <f>SUM(E33:E38)</f>
        <v>437852683</v>
      </c>
      <c r="F39" s="67">
        <f t="shared" si="7"/>
        <v>953237085</v>
      </c>
      <c r="G39" s="67">
        <f>SUM(G33:G38)</f>
        <v>288637919.14999998</v>
      </c>
      <c r="H39" s="87">
        <f t="shared" si="7"/>
        <v>149214763.84999999</v>
      </c>
      <c r="I39" s="82"/>
      <c r="K39" s="8"/>
    </row>
    <row r="40" spans="1:11" ht="15.75" thickTop="1" x14ac:dyDescent="0.25">
      <c r="A40" s="68"/>
      <c r="B40" s="69"/>
      <c r="C40" s="70"/>
      <c r="D40" s="70"/>
      <c r="E40" s="70"/>
      <c r="F40" s="71"/>
      <c r="G40" s="71"/>
      <c r="H40" s="88"/>
      <c r="I40" s="82"/>
    </row>
    <row r="41" spans="1:11" x14ac:dyDescent="0.25">
      <c r="A41" s="72" t="s">
        <v>105</v>
      </c>
      <c r="B41" s="59"/>
      <c r="C41" s="73"/>
      <c r="D41" s="74"/>
      <c r="E41" s="74"/>
      <c r="F41" s="75"/>
      <c r="G41" s="75"/>
      <c r="H41" s="89"/>
      <c r="I41" s="81"/>
    </row>
    <row r="42" spans="1:11" x14ac:dyDescent="0.25">
      <c r="A42" s="13" t="s">
        <v>31</v>
      </c>
      <c r="B42" s="63">
        <f>+'DETALLE ABRIL'!K194</f>
        <v>81810000</v>
      </c>
      <c r="C42" s="63">
        <f>+'DETALLE ABRIL'!L194</f>
        <v>0</v>
      </c>
      <c r="D42" s="63">
        <f t="shared" ref="D42:D47" si="8">B42+C42</f>
        <v>81810000</v>
      </c>
      <c r="E42" s="63">
        <f>+'DETALLE ABRIL'!O194</f>
        <v>77265000</v>
      </c>
      <c r="F42" s="64">
        <f t="shared" ref="F42:F47" si="9">D42-E42</f>
        <v>4545000</v>
      </c>
      <c r="G42" s="64">
        <f>+'DETALLE ABRIL'!Y194</f>
        <v>15958000</v>
      </c>
      <c r="H42" s="76">
        <f t="shared" ref="H42:H47" si="10">+E42-G42</f>
        <v>61307000</v>
      </c>
      <c r="I42" s="82"/>
    </row>
    <row r="43" spans="1:11" x14ac:dyDescent="0.25">
      <c r="A43" s="13" t="s">
        <v>62</v>
      </c>
      <c r="B43" s="63">
        <v>0</v>
      </c>
      <c r="C43" s="63">
        <v>0</v>
      </c>
      <c r="D43" s="63">
        <f t="shared" si="8"/>
        <v>0</v>
      </c>
      <c r="E43" s="63">
        <v>0</v>
      </c>
      <c r="F43" s="64">
        <f t="shared" si="9"/>
        <v>0</v>
      </c>
      <c r="G43" s="64">
        <v>0</v>
      </c>
      <c r="H43" s="76">
        <f t="shared" si="10"/>
        <v>0</v>
      </c>
      <c r="I43" s="82"/>
    </row>
    <row r="44" spans="1:11" x14ac:dyDescent="0.25">
      <c r="A44" s="13" t="s">
        <v>63</v>
      </c>
      <c r="B44" s="63">
        <f>+'DETALLE ABRIL'!K205</f>
        <v>0</v>
      </c>
      <c r="C44" s="63">
        <f>+'DETALLE ABRIL'!L205</f>
        <v>2900000</v>
      </c>
      <c r="D44" s="63">
        <f t="shared" si="8"/>
        <v>2900000</v>
      </c>
      <c r="E44" s="63">
        <f>+'DETALLE ABRIL'!O205</f>
        <v>906216</v>
      </c>
      <c r="F44" s="64">
        <f t="shared" si="9"/>
        <v>1993784</v>
      </c>
      <c r="G44" s="64">
        <f>+'DETALLE ABRIL'!Y205</f>
        <v>906216</v>
      </c>
      <c r="H44" s="76">
        <f t="shared" si="10"/>
        <v>0</v>
      </c>
      <c r="I44" s="82"/>
    </row>
    <row r="45" spans="1:11" x14ac:dyDescent="0.25">
      <c r="A45" s="13" t="s">
        <v>27</v>
      </c>
      <c r="B45" s="63">
        <v>0</v>
      </c>
      <c r="C45" s="63">
        <v>0</v>
      </c>
      <c r="D45" s="63">
        <f t="shared" si="8"/>
        <v>0</v>
      </c>
      <c r="E45" s="63">
        <v>0</v>
      </c>
      <c r="F45" s="64">
        <f t="shared" si="9"/>
        <v>0</v>
      </c>
      <c r="G45" s="64">
        <v>0</v>
      </c>
      <c r="H45" s="76">
        <f t="shared" si="10"/>
        <v>0</v>
      </c>
      <c r="I45" s="82"/>
    </row>
    <row r="46" spans="1:11" x14ac:dyDescent="0.25">
      <c r="A46" s="13" t="s">
        <v>23</v>
      </c>
      <c r="B46" s="63">
        <f>+'DETALLE ABRIL'!I207</f>
        <v>0</v>
      </c>
      <c r="C46" s="63">
        <f>+'DETALLE ABRIL'!L207</f>
        <v>34000000</v>
      </c>
      <c r="D46" s="63">
        <f t="shared" si="8"/>
        <v>34000000</v>
      </c>
      <c r="E46" s="63">
        <f>+'DETALLE ABRIL'!O207</f>
        <v>20265062</v>
      </c>
      <c r="F46" s="64">
        <f t="shared" si="9"/>
        <v>13734938</v>
      </c>
      <c r="G46" s="64">
        <f>+'DETALLE ABRIL'!Y207</f>
        <v>20265062</v>
      </c>
      <c r="H46" s="76">
        <f t="shared" si="10"/>
        <v>0</v>
      </c>
      <c r="I46" s="82"/>
    </row>
    <row r="47" spans="1:11" ht="15.75" thickBot="1" x14ac:dyDescent="0.3">
      <c r="A47" s="14" t="s">
        <v>15</v>
      </c>
      <c r="B47" s="63">
        <f>+'DETALLE ABRIL'!K208</f>
        <v>5600000</v>
      </c>
      <c r="C47" s="63">
        <f>+'DETALLE ABRIL'!L199+'DETALLE ABRIL'!L201+'DETALLE ABRIL'!L203</f>
        <v>2713181597</v>
      </c>
      <c r="D47" s="63">
        <f t="shared" si="8"/>
        <v>2718781597</v>
      </c>
      <c r="E47" s="63">
        <f>+'DETALLE ABRIL'!O199+'DETALLE ABRIL'!O201+'DETALLE ABRIL'!O203+'DETALLE ABRIL'!O208</f>
        <v>1579339670.0333333</v>
      </c>
      <c r="F47" s="64">
        <f t="shared" si="9"/>
        <v>1139441926.9666667</v>
      </c>
      <c r="G47" s="64">
        <f>+'DETALLE ABRIL'!Y199+'DETALLE ABRIL'!Y201+'DETALLE ABRIL'!Y203+'DETALLE ABRIL'!Y208</f>
        <v>1579339670.0333333</v>
      </c>
      <c r="H47" s="76">
        <f t="shared" si="10"/>
        <v>0</v>
      </c>
      <c r="I47" s="82"/>
    </row>
    <row r="48" spans="1:11" ht="16.5" thickTop="1" thickBot="1" x14ac:dyDescent="0.3">
      <c r="A48" s="65" t="s">
        <v>113</v>
      </c>
      <c r="B48" s="66">
        <f>SUM(B42:B47)</f>
        <v>87410000</v>
      </c>
      <c r="C48" s="66">
        <f>SUM(C42:C47)</f>
        <v>2750081597</v>
      </c>
      <c r="D48" s="66">
        <f t="shared" ref="D48" si="11">SUM(D42:D47)</f>
        <v>2837491597</v>
      </c>
      <c r="E48" s="66">
        <f>SUM(E42:E47)</f>
        <v>1677775948.0333333</v>
      </c>
      <c r="F48" s="67">
        <f>SUM(F42:F47)</f>
        <v>1159715648.9666667</v>
      </c>
      <c r="G48" s="67">
        <f>SUM(G42:G47)</f>
        <v>1616468948.0333333</v>
      </c>
      <c r="H48" s="87">
        <f>SUM(H42:H47)</f>
        <v>61307000</v>
      </c>
      <c r="I48" s="82"/>
    </row>
    <row r="49" spans="1:10" ht="16.5" thickTop="1" thickBot="1" x14ac:dyDescent="0.3">
      <c r="A49" s="77" t="s">
        <v>2</v>
      </c>
      <c r="B49" s="91">
        <f t="shared" ref="B49:H49" si="12">B30+B39+B48</f>
        <v>5698063717.132</v>
      </c>
      <c r="C49" s="91">
        <f t="shared" si="12"/>
        <v>3843717910</v>
      </c>
      <c r="D49" s="91">
        <f t="shared" si="12"/>
        <v>9541781627.132</v>
      </c>
      <c r="E49" s="91">
        <f t="shared" si="12"/>
        <v>4697435780.1973333</v>
      </c>
      <c r="F49" s="91">
        <f t="shared" si="12"/>
        <v>4844345846.9346666</v>
      </c>
      <c r="G49" s="91">
        <f>G30+G39+G48</f>
        <v>3252952325.1973333</v>
      </c>
      <c r="H49" s="92">
        <f t="shared" si="12"/>
        <v>1444483455</v>
      </c>
      <c r="I49" s="84"/>
      <c r="J49" s="8"/>
    </row>
    <row r="50" spans="1:10" x14ac:dyDescent="0.25">
      <c r="A50" s="280" t="s">
        <v>13</v>
      </c>
      <c r="B50" s="280"/>
      <c r="C50" s="280"/>
      <c r="D50" s="280"/>
      <c r="E50" s="78">
        <f>E49/$D$49</f>
        <v>0.49230174864201487</v>
      </c>
      <c r="F50" s="78">
        <f>F49/$D$49</f>
        <v>0.50769825135798519</v>
      </c>
      <c r="G50" s="78">
        <f>G49/$D$49</f>
        <v>0.34091666025426348</v>
      </c>
      <c r="H50" s="78">
        <f>H49/$D$49</f>
        <v>0.15138508838775139</v>
      </c>
      <c r="I50" s="85"/>
      <c r="J50" s="8"/>
    </row>
    <row r="51" spans="1:10" ht="9" customHeight="1" x14ac:dyDescent="0.25">
      <c r="A51" s="274"/>
      <c r="B51" s="274"/>
      <c r="C51" s="274"/>
      <c r="D51" s="274"/>
      <c r="E51" s="78"/>
      <c r="F51" s="78"/>
      <c r="G51" s="78"/>
      <c r="H51" s="78"/>
      <c r="I51" s="85"/>
      <c r="J51" s="8"/>
    </row>
    <row r="52" spans="1:10" x14ac:dyDescent="0.25">
      <c r="A52" t="s">
        <v>17</v>
      </c>
      <c r="E52" t="s">
        <v>16</v>
      </c>
      <c r="J52" s="8">
        <f>+E49+F49-D49</f>
        <v>0</v>
      </c>
    </row>
    <row r="53" spans="1:10" ht="11.25" customHeight="1" x14ac:dyDescent="0.25"/>
    <row r="54" spans="1:10" x14ac:dyDescent="0.25">
      <c r="A54" s="6"/>
      <c r="E54" s="6"/>
      <c r="F54" s="6"/>
    </row>
    <row r="55" spans="1:10" x14ac:dyDescent="0.25">
      <c r="A55" s="5" t="s">
        <v>200</v>
      </c>
      <c r="E55" s="5" t="s">
        <v>93</v>
      </c>
    </row>
    <row r="56" spans="1:10" x14ac:dyDescent="0.25">
      <c r="A56" t="s">
        <v>201</v>
      </c>
      <c r="E56" t="s">
        <v>198</v>
      </c>
    </row>
    <row r="57" spans="1:10" x14ac:dyDescent="0.25">
      <c r="A57" t="s">
        <v>202</v>
      </c>
      <c r="E57" t="s">
        <v>199</v>
      </c>
    </row>
    <row r="59" spans="1:10" x14ac:dyDescent="0.25">
      <c r="A59" t="s">
        <v>16</v>
      </c>
      <c r="E59" t="s">
        <v>7</v>
      </c>
      <c r="F59" s="8"/>
    </row>
    <row r="60" spans="1:10" ht="9.75" customHeight="1" x14ac:dyDescent="0.25"/>
    <row r="61" spans="1:10" x14ac:dyDescent="0.25">
      <c r="A61" s="6"/>
      <c r="E61" s="6"/>
      <c r="F61" s="6"/>
    </row>
    <row r="62" spans="1:10" x14ac:dyDescent="0.25">
      <c r="A62" s="5" t="s">
        <v>227</v>
      </c>
      <c r="E62" s="5" t="s">
        <v>18</v>
      </c>
    </row>
    <row r="63" spans="1:10" x14ac:dyDescent="0.25">
      <c r="A63" t="s">
        <v>152</v>
      </c>
      <c r="E63" t="s">
        <v>19</v>
      </c>
    </row>
    <row r="64" spans="1:10" x14ac:dyDescent="0.25">
      <c r="A64" t="s">
        <v>228</v>
      </c>
      <c r="E64" t="s">
        <v>112</v>
      </c>
    </row>
  </sheetData>
  <mergeCells count="15">
    <mergeCell ref="A1:H1"/>
    <mergeCell ref="A21:A22"/>
    <mergeCell ref="A50:D50"/>
    <mergeCell ref="B21:H21"/>
    <mergeCell ref="D8:E8"/>
    <mergeCell ref="D9:E9"/>
    <mergeCell ref="D7:E7"/>
    <mergeCell ref="D12:E12"/>
    <mergeCell ref="D13:E13"/>
    <mergeCell ref="D14:E14"/>
    <mergeCell ref="D11:E11"/>
    <mergeCell ref="D10:E10"/>
    <mergeCell ref="D16:E16"/>
    <mergeCell ref="D15:E15"/>
    <mergeCell ref="A2:H2"/>
  </mergeCells>
  <printOptions horizontalCentered="1" verticalCentered="1"/>
  <pageMargins left="0" right="0" top="0.74803149606299213" bottom="0.74803149606299213" header="0.31496062992125984" footer="0.31496062992125984"/>
  <pageSetup scale="45" orientation="landscape" r:id="rId1"/>
  <colBreaks count="1" manualBreakCount="1">
    <brk id="8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30"/>
  <sheetViews>
    <sheetView tabSelected="1" view="pageBreakPreview" topLeftCell="A24" zoomScale="85" zoomScaleNormal="85" zoomScaleSheetLayoutView="85" workbookViewId="0">
      <pane xSplit="1" ySplit="3" topLeftCell="I27" activePane="bottomRight" state="frozen"/>
      <selection activeCell="A24" sqref="A24"/>
      <selection pane="topRight" activeCell="B24" sqref="B24"/>
      <selection pane="bottomLeft" activeCell="A27" sqref="A27"/>
      <selection pane="bottomRight" activeCell="P34" sqref="P34"/>
    </sheetView>
  </sheetViews>
  <sheetFormatPr baseColWidth="10" defaultColWidth="9.140625" defaultRowHeight="15" x14ac:dyDescent="0.25"/>
  <cols>
    <col min="1" max="1" width="59.140625" style="118" customWidth="1"/>
    <col min="2" max="2" width="14.85546875" style="118" customWidth="1"/>
    <col min="3" max="3" width="12.85546875" style="118" customWidth="1"/>
    <col min="4" max="4" width="14.42578125" style="118" customWidth="1"/>
    <col min="5" max="5" width="15.28515625" style="118" customWidth="1"/>
    <col min="6" max="6" width="15.42578125" style="118" customWidth="1"/>
    <col min="7" max="7" width="13.7109375" style="118" hidden="1" customWidth="1"/>
    <col min="8" max="8" width="18" style="118" customWidth="1"/>
    <col min="9" max="9" width="17.7109375" style="118" customWidth="1"/>
    <col min="10" max="10" width="13.28515625" style="118" hidden="1" customWidth="1"/>
    <col min="11" max="11" width="17.42578125" style="118" customWidth="1"/>
    <col min="12" max="12" width="17.85546875" style="118" customWidth="1"/>
    <col min="13" max="13" width="15.28515625" style="118" hidden="1" customWidth="1"/>
    <col min="14" max="14" width="17.42578125" style="118" customWidth="1"/>
    <col min="15" max="15" width="16.85546875" style="255" customWidth="1"/>
    <col min="16" max="16" width="15.28515625" style="255" customWidth="1"/>
    <col min="17" max="21" width="19.5703125" style="252" hidden="1" customWidth="1"/>
    <col min="22" max="22" width="19.5703125" style="252" customWidth="1"/>
    <col min="23" max="23" width="12.42578125" style="252" customWidth="1"/>
    <col min="24" max="24" width="13.85546875" style="252" customWidth="1"/>
    <col min="25" max="25" width="15.42578125" style="252" customWidth="1"/>
    <col min="26" max="26" width="18.140625" style="118" customWidth="1"/>
    <col min="27" max="27" width="14.85546875" style="118" bestFit="1" customWidth="1"/>
    <col min="28" max="28" width="14.140625" style="118" bestFit="1" customWidth="1"/>
    <col min="29" max="29" width="14.5703125" style="118" bestFit="1" customWidth="1"/>
    <col min="30" max="30" width="13" style="118" bestFit="1" customWidth="1"/>
    <col min="31" max="31" width="11" style="118" bestFit="1" customWidth="1"/>
    <col min="32" max="16384" width="9.140625" style="118"/>
  </cols>
  <sheetData>
    <row r="1" spans="1:27" s="109" customFormat="1" ht="40.5" customHeight="1" x14ac:dyDescent="0.25">
      <c r="A1" s="295" t="s">
        <v>115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</row>
    <row r="2" spans="1:27" s="109" customFormat="1" ht="15" customHeight="1" x14ac:dyDescent="0.2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</row>
    <row r="3" spans="1:27" s="109" customForma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1"/>
      <c r="P3" s="111"/>
      <c r="Q3" s="112"/>
      <c r="R3" s="112"/>
      <c r="S3" s="112"/>
      <c r="T3" s="112"/>
      <c r="U3" s="112"/>
      <c r="V3" s="112"/>
      <c r="W3" s="112"/>
      <c r="X3" s="112"/>
      <c r="Y3" s="112"/>
      <c r="Z3" s="110"/>
    </row>
    <row r="4" spans="1:27" s="109" customFormat="1" ht="15.75" thickBot="1" x14ac:dyDescent="0.3">
      <c r="A4" s="296" t="s">
        <v>232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</row>
    <row r="5" spans="1:27" s="109" customFormat="1" ht="14.25" customHeight="1" x14ac:dyDescent="0.25">
      <c r="A5" s="113" t="s">
        <v>91</v>
      </c>
      <c r="B5" s="114">
        <v>43585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11"/>
      <c r="Q5" s="112"/>
      <c r="R5" s="112"/>
      <c r="S5" s="112"/>
      <c r="T5" s="112"/>
      <c r="U5" s="112"/>
      <c r="V5" s="112"/>
      <c r="W5" s="112"/>
      <c r="X5" s="112"/>
      <c r="Y5" s="115"/>
      <c r="Z5" s="110"/>
    </row>
    <row r="6" spans="1:27" s="109" customFormat="1" ht="15" customHeight="1" x14ac:dyDescent="0.25">
      <c r="A6" s="116" t="s">
        <v>10</v>
      </c>
      <c r="B6" s="117">
        <v>43405</v>
      </c>
      <c r="C6" s="118"/>
      <c r="D6" s="118"/>
      <c r="E6" s="110"/>
      <c r="F6" s="119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</row>
    <row r="7" spans="1:27" s="109" customFormat="1" ht="15.75" customHeight="1" x14ac:dyDescent="0.25">
      <c r="A7" s="120" t="s">
        <v>11</v>
      </c>
      <c r="B7" s="121">
        <v>43769</v>
      </c>
      <c r="C7" s="118"/>
      <c r="D7" s="118"/>
      <c r="E7" s="110"/>
      <c r="F7" s="119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</row>
    <row r="8" spans="1:27" s="109" customFormat="1" ht="9.75" customHeight="1" x14ac:dyDescent="0.25">
      <c r="A8" s="122"/>
      <c r="B8" s="123"/>
      <c r="C8" s="118"/>
      <c r="D8" s="118"/>
      <c r="E8" s="110"/>
      <c r="F8" s="11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</row>
    <row r="9" spans="1:27" s="109" customFormat="1" ht="15.75" customHeight="1" x14ac:dyDescent="0.25">
      <c r="A9" s="124" t="s">
        <v>65</v>
      </c>
      <c r="B9" s="125">
        <v>5061050262</v>
      </c>
      <c r="C9" s="118"/>
      <c r="D9" s="118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</row>
    <row r="10" spans="1:27" s="109" customFormat="1" ht="15.75" customHeight="1" x14ac:dyDescent="0.25">
      <c r="A10" s="116" t="s">
        <v>66</v>
      </c>
      <c r="B10" s="126">
        <v>252150000</v>
      </c>
      <c r="C10" s="118"/>
      <c r="D10" s="118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</row>
    <row r="11" spans="1:27" s="109" customFormat="1" ht="15.75" customHeight="1" x14ac:dyDescent="0.25">
      <c r="A11" s="116" t="s">
        <v>54</v>
      </c>
      <c r="B11" s="126">
        <v>0</v>
      </c>
      <c r="C11" s="118"/>
      <c r="D11" s="118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</row>
    <row r="12" spans="1:27" s="109" customFormat="1" ht="15.75" customHeight="1" x14ac:dyDescent="0.25">
      <c r="A12" s="127" t="s">
        <v>55</v>
      </c>
      <c r="B12" s="128">
        <f>+B9+B10+B11</f>
        <v>5313200262</v>
      </c>
      <c r="C12" s="118"/>
      <c r="D12" s="118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</row>
    <row r="13" spans="1:27" s="109" customFormat="1" ht="15.75" customHeight="1" x14ac:dyDescent="0.25">
      <c r="A13" s="116" t="s">
        <v>68</v>
      </c>
      <c r="B13" s="126">
        <v>549603455</v>
      </c>
      <c r="C13" s="118"/>
      <c r="D13" s="118"/>
      <c r="E13" s="110"/>
      <c r="F13" s="110"/>
      <c r="G13" s="110"/>
      <c r="H13" s="119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</row>
    <row r="14" spans="1:27" s="109" customFormat="1" ht="15.75" customHeight="1" x14ac:dyDescent="0.25">
      <c r="A14" s="116" t="s">
        <v>69</v>
      </c>
      <c r="B14" s="126">
        <v>841486313</v>
      </c>
      <c r="C14" s="118"/>
      <c r="D14" s="118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spans="1:27" s="109" customFormat="1" ht="15.75" customHeight="1" x14ac:dyDescent="0.25">
      <c r="A15" s="116" t="s">
        <v>56</v>
      </c>
      <c r="B15" s="126">
        <v>0</v>
      </c>
      <c r="C15" s="118"/>
      <c r="D15" s="118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</row>
    <row r="16" spans="1:27" s="109" customFormat="1" ht="15.75" customHeight="1" x14ac:dyDescent="0.25">
      <c r="A16" s="127" t="s">
        <v>57</v>
      </c>
      <c r="B16" s="128">
        <f>+B13+B14+B15</f>
        <v>1391089768</v>
      </c>
      <c r="C16" s="118"/>
      <c r="D16" s="118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</row>
    <row r="17" spans="1:28" s="109" customFormat="1" ht="15.75" customHeight="1" x14ac:dyDescent="0.25">
      <c r="A17" s="116" t="s">
        <v>70</v>
      </c>
      <c r="B17" s="126">
        <v>87410000</v>
      </c>
      <c r="C17" s="118"/>
      <c r="D17" s="118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</row>
    <row r="18" spans="1:28" s="109" customFormat="1" ht="15.75" customHeight="1" x14ac:dyDescent="0.25">
      <c r="A18" s="116" t="s">
        <v>71</v>
      </c>
      <c r="B18" s="126">
        <v>2750081597</v>
      </c>
      <c r="C18" s="118"/>
      <c r="D18" s="118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</row>
    <row r="19" spans="1:28" s="109" customFormat="1" ht="15.75" customHeight="1" x14ac:dyDescent="0.25">
      <c r="A19" s="116" t="s">
        <v>58</v>
      </c>
      <c r="B19" s="126">
        <v>0</v>
      </c>
      <c r="C19" s="118"/>
      <c r="D19" s="118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</row>
    <row r="20" spans="1:28" s="109" customFormat="1" ht="15.75" customHeight="1" x14ac:dyDescent="0.25">
      <c r="A20" s="127" t="s">
        <v>59</v>
      </c>
      <c r="B20" s="128">
        <f>+B17+B18+B19</f>
        <v>2837491597</v>
      </c>
      <c r="C20" s="118"/>
      <c r="D20" s="118"/>
      <c r="E20" s="110"/>
      <c r="F20" s="110"/>
      <c r="G20" s="110"/>
      <c r="H20" s="119"/>
      <c r="I20" s="119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</row>
    <row r="21" spans="1:28" s="109" customFormat="1" ht="15.75" customHeight="1" thickBot="1" x14ac:dyDescent="0.3">
      <c r="A21" s="129" t="s">
        <v>60</v>
      </c>
      <c r="B21" s="130">
        <f>+B12+B16+B20</f>
        <v>9541781627</v>
      </c>
      <c r="C21" s="118"/>
      <c r="D21" s="110"/>
      <c r="E21" s="119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9"/>
      <c r="S21" s="110"/>
      <c r="T21" s="110"/>
      <c r="U21" s="110"/>
      <c r="V21" s="110"/>
      <c r="W21" s="110"/>
      <c r="X21" s="110"/>
      <c r="Y21" s="110"/>
      <c r="Z21" s="110"/>
      <c r="AA21" s="110"/>
    </row>
    <row r="22" spans="1:28" s="109" customFormat="1" ht="9.75" customHeight="1" x14ac:dyDescent="0.25">
      <c r="A22" s="131"/>
      <c r="B22" s="132"/>
      <c r="C22" s="132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</row>
    <row r="23" spans="1:28" s="137" customFormat="1" ht="15.75" thickBot="1" x14ac:dyDescent="0.3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4"/>
      <c r="P23" s="134"/>
      <c r="Q23" s="135"/>
      <c r="R23" s="135"/>
      <c r="S23" s="135"/>
      <c r="T23" s="135"/>
      <c r="U23" s="135"/>
      <c r="V23" s="135"/>
      <c r="W23" s="135"/>
      <c r="X23" s="135"/>
      <c r="Y23" s="135"/>
      <c r="Z23" s="136"/>
    </row>
    <row r="24" spans="1:28" ht="45" customHeight="1" x14ac:dyDescent="0.25">
      <c r="A24" s="297" t="s">
        <v>4</v>
      </c>
      <c r="B24" s="299" t="s">
        <v>0</v>
      </c>
      <c r="C24" s="299" t="s">
        <v>1</v>
      </c>
      <c r="D24" s="301" t="s">
        <v>3</v>
      </c>
      <c r="E24" s="303" t="s">
        <v>37</v>
      </c>
      <c r="F24" s="299"/>
      <c r="G24" s="304" t="s">
        <v>32</v>
      </c>
      <c r="H24" s="303" t="s">
        <v>38</v>
      </c>
      <c r="I24" s="299"/>
      <c r="J24" s="304" t="s">
        <v>33</v>
      </c>
      <c r="K24" s="303" t="s">
        <v>39</v>
      </c>
      <c r="L24" s="299"/>
      <c r="M24" s="304" t="s">
        <v>26</v>
      </c>
      <c r="N24" s="308" t="s">
        <v>6</v>
      </c>
      <c r="O24" s="310" t="s">
        <v>12</v>
      </c>
      <c r="P24" s="301" t="s">
        <v>9</v>
      </c>
      <c r="Q24" s="299" t="s">
        <v>116</v>
      </c>
      <c r="R24" s="299" t="s">
        <v>117</v>
      </c>
      <c r="S24" s="299" t="s">
        <v>118</v>
      </c>
      <c r="T24" s="306" t="s">
        <v>119</v>
      </c>
      <c r="U24" s="306" t="s">
        <v>120</v>
      </c>
      <c r="V24" s="306" t="s">
        <v>121</v>
      </c>
      <c r="W24" s="306" t="s">
        <v>122</v>
      </c>
      <c r="X24" s="299" t="s">
        <v>123</v>
      </c>
      <c r="Y24" s="299" t="s">
        <v>5</v>
      </c>
      <c r="Z24" s="312" t="s">
        <v>114</v>
      </c>
    </row>
    <row r="25" spans="1:28" x14ac:dyDescent="0.25">
      <c r="A25" s="298"/>
      <c r="B25" s="300"/>
      <c r="C25" s="300"/>
      <c r="D25" s="302"/>
      <c r="E25" s="138" t="s">
        <v>40</v>
      </c>
      <c r="F25" s="139" t="s">
        <v>41</v>
      </c>
      <c r="G25" s="305"/>
      <c r="H25" s="138" t="s">
        <v>42</v>
      </c>
      <c r="I25" s="139" t="s">
        <v>41</v>
      </c>
      <c r="J25" s="305"/>
      <c r="K25" s="138" t="s">
        <v>40</v>
      </c>
      <c r="L25" s="139" t="s">
        <v>41</v>
      </c>
      <c r="M25" s="305"/>
      <c r="N25" s="309"/>
      <c r="O25" s="311"/>
      <c r="P25" s="302"/>
      <c r="Q25" s="300"/>
      <c r="R25" s="300"/>
      <c r="S25" s="300"/>
      <c r="T25" s="307"/>
      <c r="U25" s="307"/>
      <c r="V25" s="307"/>
      <c r="W25" s="307"/>
      <c r="X25" s="300"/>
      <c r="Y25" s="300"/>
      <c r="Z25" s="313"/>
    </row>
    <row r="26" spans="1:28" ht="15.75" thickBot="1" x14ac:dyDescent="0.3">
      <c r="A26" s="140" t="s">
        <v>94</v>
      </c>
      <c r="B26" s="141"/>
      <c r="C26" s="141"/>
      <c r="D26" s="142"/>
      <c r="E26" s="143"/>
      <c r="F26" s="143"/>
      <c r="G26" s="144"/>
      <c r="H26" s="145"/>
      <c r="I26" s="143"/>
      <c r="J26" s="144"/>
      <c r="K26" s="145"/>
      <c r="L26" s="143"/>
      <c r="M26" s="144"/>
      <c r="N26" s="146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</row>
    <row r="27" spans="1:28" x14ac:dyDescent="0.25">
      <c r="A27" s="147" t="s">
        <v>28</v>
      </c>
      <c r="B27" s="148">
        <v>401</v>
      </c>
      <c r="C27" s="148">
        <v>10</v>
      </c>
      <c r="D27" s="149">
        <v>720000</v>
      </c>
      <c r="E27" s="150">
        <v>2710800000</v>
      </c>
      <c r="F27" s="151"/>
      <c r="G27" s="151"/>
      <c r="H27" s="151">
        <v>0</v>
      </c>
      <c r="I27" s="151"/>
      <c r="J27" s="151"/>
      <c r="K27" s="151"/>
      <c r="L27" s="151"/>
      <c r="M27" s="151"/>
      <c r="N27" s="152">
        <f>E27+H27+K27</f>
        <v>2710800000</v>
      </c>
      <c r="O27" s="152">
        <f>SUM(Q27:X27)</f>
        <v>621640800</v>
      </c>
      <c r="P27" s="152">
        <f>N27-O27</f>
        <v>2089159200</v>
      </c>
      <c r="Q27" s="260">
        <f>10860000*94%</f>
        <v>10208400</v>
      </c>
      <c r="R27" s="260">
        <f>(7080000+14490000)*94%</f>
        <v>20275800</v>
      </c>
      <c r="S27" s="260">
        <f>(40470000)*94%</f>
        <v>38041800</v>
      </c>
      <c r="T27" s="260">
        <f>(120720000)*94%</f>
        <v>113476800</v>
      </c>
      <c r="U27" s="260">
        <f>(215730000+120000+13740000+3030000)*94%</f>
        <v>218662800</v>
      </c>
      <c r="V27" s="260">
        <f>(234660000+420000)*94%</f>
        <v>220975200</v>
      </c>
      <c r="W27" s="151">
        <v>0</v>
      </c>
      <c r="X27" s="151">
        <v>0</v>
      </c>
      <c r="Y27" s="153">
        <f>SUM(Q27:X27)</f>
        <v>621640800</v>
      </c>
      <c r="Z27" s="154">
        <f>ON27</f>
        <v>0</v>
      </c>
      <c r="AA27" s="155"/>
    </row>
    <row r="28" spans="1:28" x14ac:dyDescent="0.25">
      <c r="A28" s="156" t="s">
        <v>96</v>
      </c>
      <c r="B28" s="157"/>
      <c r="C28" s="157"/>
      <c r="D28" s="158"/>
      <c r="E28" s="159">
        <f>E27</f>
        <v>2710800000</v>
      </c>
      <c r="F28" s="159">
        <f>SUM(F27)</f>
        <v>0</v>
      </c>
      <c r="G28" s="159" t="e">
        <f>+#REF!+#REF!+#REF!+#REF!+#REF!+G21+G23+G26</f>
        <v>#REF!</v>
      </c>
      <c r="H28" s="159">
        <f>H27</f>
        <v>0</v>
      </c>
      <c r="I28" s="159">
        <f>SUM(I27)</f>
        <v>0</v>
      </c>
      <c r="J28" s="159" t="e">
        <f>+#REF!+#REF!+#REF!+#REF!+#REF!+J21+J23+J26</f>
        <v>#REF!</v>
      </c>
      <c r="K28" s="159">
        <f>SUM(K27)</f>
        <v>0</v>
      </c>
      <c r="L28" s="159">
        <f>SUM(L27)</f>
        <v>0</v>
      </c>
      <c r="M28" s="159">
        <f t="shared" ref="M28:N28" si="0">M27</f>
        <v>0</v>
      </c>
      <c r="N28" s="159">
        <f t="shared" si="0"/>
        <v>2710800000</v>
      </c>
      <c r="O28" s="159">
        <f>O27</f>
        <v>621640800</v>
      </c>
      <c r="P28" s="159">
        <f>P27</f>
        <v>2089159200</v>
      </c>
      <c r="Q28" s="261">
        <f>Q27</f>
        <v>10208400</v>
      </c>
      <c r="R28" s="261">
        <f t="shared" ref="R28:X28" si="1">R27</f>
        <v>20275800</v>
      </c>
      <c r="S28" s="261">
        <f t="shared" si="1"/>
        <v>38041800</v>
      </c>
      <c r="T28" s="261">
        <f t="shared" si="1"/>
        <v>113476800</v>
      </c>
      <c r="U28" s="261">
        <f t="shared" si="1"/>
        <v>218662800</v>
      </c>
      <c r="V28" s="159">
        <f t="shared" si="1"/>
        <v>220975200</v>
      </c>
      <c r="W28" s="159">
        <f t="shared" si="1"/>
        <v>0</v>
      </c>
      <c r="X28" s="159">
        <f t="shared" si="1"/>
        <v>0</v>
      </c>
      <c r="Y28" s="159">
        <f>Y27</f>
        <v>621640800</v>
      </c>
      <c r="Z28" s="160">
        <f>Z27</f>
        <v>0</v>
      </c>
    </row>
    <row r="29" spans="1:28" ht="15" customHeight="1" x14ac:dyDescent="0.25">
      <c r="A29" s="161" t="s">
        <v>61</v>
      </c>
      <c r="B29" s="162">
        <v>1</v>
      </c>
      <c r="C29" s="162">
        <v>12</v>
      </c>
      <c r="D29" s="163">
        <v>5300000</v>
      </c>
      <c r="E29" s="164">
        <f>E30</f>
        <v>47600000</v>
      </c>
      <c r="F29" s="165">
        <v>0</v>
      </c>
      <c r="G29" s="165">
        <v>0</v>
      </c>
      <c r="H29" s="166">
        <f>+H30</f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6">
        <f>+E29</f>
        <v>47600000</v>
      </c>
      <c r="O29" s="166">
        <f>O30</f>
        <v>47600000</v>
      </c>
      <c r="P29" s="166">
        <f>N29-O29</f>
        <v>0</v>
      </c>
      <c r="Q29" s="262">
        <f>+Q30</f>
        <v>2915000.25</v>
      </c>
      <c r="R29" s="262">
        <f t="shared" ref="R29:X29" si="2">+R30</f>
        <v>3975000</v>
      </c>
      <c r="S29" s="262">
        <f t="shared" si="2"/>
        <v>3975000</v>
      </c>
      <c r="T29" s="262">
        <f t="shared" si="2"/>
        <v>3975000</v>
      </c>
      <c r="U29" s="262">
        <f t="shared" si="2"/>
        <v>3975000</v>
      </c>
      <c r="V29" s="166">
        <f t="shared" si="2"/>
        <v>3975000</v>
      </c>
      <c r="W29" s="166">
        <f t="shared" si="2"/>
        <v>0</v>
      </c>
      <c r="X29" s="166">
        <f t="shared" si="2"/>
        <v>0</v>
      </c>
      <c r="Y29" s="166">
        <f t="shared" ref="Y29:Y40" si="3">SUM(Q29:X29)</f>
        <v>22790000.25</v>
      </c>
      <c r="Z29" s="167">
        <f>+Z30</f>
        <v>24809999.75</v>
      </c>
    </row>
    <row r="30" spans="1:28" x14ac:dyDescent="0.25">
      <c r="A30" s="168" t="s">
        <v>161</v>
      </c>
      <c r="B30" s="169"/>
      <c r="C30" s="169"/>
      <c r="D30" s="170"/>
      <c r="E30" s="171">
        <v>47600000</v>
      </c>
      <c r="F30" s="172"/>
      <c r="G30" s="172"/>
      <c r="H30" s="172">
        <v>0</v>
      </c>
      <c r="I30" s="172"/>
      <c r="J30" s="172"/>
      <c r="K30" s="172"/>
      <c r="L30" s="172"/>
      <c r="M30" s="172"/>
      <c r="N30" s="172"/>
      <c r="O30" s="172">
        <f>E30+H30+K30</f>
        <v>47600000</v>
      </c>
      <c r="P30" s="172"/>
      <c r="Q30" s="258">
        <f>(3886667)*75%</f>
        <v>2915000.25</v>
      </c>
      <c r="R30" s="258">
        <f>+(5300000*75%)</f>
        <v>3975000</v>
      </c>
      <c r="S30" s="258">
        <f>+(5300000*75%)</f>
        <v>3975000</v>
      </c>
      <c r="T30" s="258">
        <f>+(5300000*75%)</f>
        <v>3975000</v>
      </c>
      <c r="U30" s="258">
        <f>+(5300000*75%)</f>
        <v>3975000</v>
      </c>
      <c r="V30" s="172">
        <f>+U30</f>
        <v>3975000</v>
      </c>
      <c r="W30" s="172">
        <v>0</v>
      </c>
      <c r="X30" s="172">
        <v>0</v>
      </c>
      <c r="Y30" s="172">
        <f t="shared" si="3"/>
        <v>22790000.25</v>
      </c>
      <c r="Z30" s="174">
        <f>O30-Y30</f>
        <v>24809999.75</v>
      </c>
    </row>
    <row r="31" spans="1:28" s="175" customFormat="1" x14ac:dyDescent="0.25">
      <c r="A31" s="161" t="s">
        <v>34</v>
      </c>
      <c r="B31" s="162">
        <v>1</v>
      </c>
      <c r="C31" s="162">
        <v>11</v>
      </c>
      <c r="D31" s="163">
        <v>3030000</v>
      </c>
      <c r="E31" s="164">
        <f>+B31*C31*D31</f>
        <v>33330000</v>
      </c>
      <c r="F31" s="165">
        <v>0</v>
      </c>
      <c r="G31" s="165"/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166">
        <f>+E31</f>
        <v>33330000</v>
      </c>
      <c r="O31" s="166">
        <f>+O32+O33</f>
        <v>33330000</v>
      </c>
      <c r="P31" s="166">
        <f>N31-O31</f>
        <v>0</v>
      </c>
      <c r="Q31" s="262">
        <f>+Q32+Q33</f>
        <v>2222000</v>
      </c>
      <c r="R31" s="262">
        <f t="shared" ref="R31:X31" si="4">+R32+R33</f>
        <v>3030000</v>
      </c>
      <c r="S31" s="262">
        <f t="shared" si="4"/>
        <v>3030000</v>
      </c>
      <c r="T31" s="262">
        <f t="shared" si="4"/>
        <v>2525000</v>
      </c>
      <c r="U31" s="262">
        <f t="shared" si="4"/>
        <v>3030000</v>
      </c>
      <c r="V31" s="166">
        <f t="shared" si="4"/>
        <v>3030000</v>
      </c>
      <c r="W31" s="166">
        <f t="shared" si="4"/>
        <v>0</v>
      </c>
      <c r="X31" s="166">
        <f t="shared" si="4"/>
        <v>0</v>
      </c>
      <c r="Y31" s="166">
        <f t="shared" si="3"/>
        <v>16867000</v>
      </c>
      <c r="Z31" s="167">
        <f>+Z32+Z33</f>
        <v>16463000</v>
      </c>
    </row>
    <row r="32" spans="1:28" x14ac:dyDescent="0.25">
      <c r="A32" s="168" t="s">
        <v>162</v>
      </c>
      <c r="B32" s="169"/>
      <c r="C32" s="169"/>
      <c r="D32" s="170"/>
      <c r="E32" s="171">
        <v>33330000</v>
      </c>
      <c r="F32" s="172"/>
      <c r="G32" s="172"/>
      <c r="H32" s="172"/>
      <c r="I32" s="172"/>
      <c r="J32" s="172"/>
      <c r="K32" s="172"/>
      <c r="L32" s="172"/>
      <c r="M32" s="176"/>
      <c r="N32" s="172"/>
      <c r="O32" s="172">
        <v>9090000</v>
      </c>
      <c r="P32" s="172"/>
      <c r="Q32" s="258">
        <v>2222000</v>
      </c>
      <c r="R32" s="258">
        <v>3030000</v>
      </c>
      <c r="S32" s="258">
        <v>3030000</v>
      </c>
      <c r="T32" s="258">
        <v>808000</v>
      </c>
      <c r="U32" s="258"/>
      <c r="V32" s="172">
        <v>0</v>
      </c>
      <c r="W32" s="172">
        <v>0</v>
      </c>
      <c r="X32" s="172">
        <v>0</v>
      </c>
      <c r="Y32" s="172">
        <f t="shared" si="3"/>
        <v>9090000</v>
      </c>
      <c r="Z32" s="174">
        <f>O32-Y32</f>
        <v>0</v>
      </c>
      <c r="AA32" s="155"/>
      <c r="AB32" s="155"/>
    </row>
    <row r="33" spans="1:28" x14ac:dyDescent="0.25">
      <c r="A33" s="168" t="s">
        <v>163</v>
      </c>
      <c r="B33" s="169"/>
      <c r="C33" s="169"/>
      <c r="D33" s="170"/>
      <c r="E33" s="171"/>
      <c r="F33" s="172"/>
      <c r="G33" s="172"/>
      <c r="H33" s="172"/>
      <c r="I33" s="172"/>
      <c r="J33" s="172"/>
      <c r="K33" s="172"/>
      <c r="L33" s="172"/>
      <c r="M33" s="176"/>
      <c r="N33" s="172"/>
      <c r="O33" s="172">
        <v>24240000</v>
      </c>
      <c r="P33" s="172"/>
      <c r="Q33" s="258"/>
      <c r="R33" s="258"/>
      <c r="S33" s="258"/>
      <c r="T33" s="258">
        <v>1717000</v>
      </c>
      <c r="U33" s="258">
        <v>3030000</v>
      </c>
      <c r="V33" s="172">
        <v>3030000</v>
      </c>
      <c r="W33" s="172"/>
      <c r="X33" s="172"/>
      <c r="Y33" s="172">
        <f t="shared" si="3"/>
        <v>7777000</v>
      </c>
      <c r="Z33" s="174">
        <f>O33-Y33</f>
        <v>16463000</v>
      </c>
      <c r="AA33" s="155"/>
      <c r="AB33" s="155"/>
    </row>
    <row r="34" spans="1:28" s="175" customFormat="1" x14ac:dyDescent="0.25">
      <c r="A34" s="161" t="s">
        <v>124</v>
      </c>
      <c r="B34" s="162">
        <v>1</v>
      </c>
      <c r="C34" s="162">
        <v>9</v>
      </c>
      <c r="D34" s="163">
        <v>3600000</v>
      </c>
      <c r="E34" s="164">
        <f>+B34*C34*D34</f>
        <v>32400000</v>
      </c>
      <c r="F34" s="165">
        <v>0</v>
      </c>
      <c r="G34" s="165"/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66">
        <f>+E34</f>
        <v>32400000</v>
      </c>
      <c r="O34" s="166">
        <f>O35</f>
        <v>32400000</v>
      </c>
      <c r="P34" s="166">
        <f>N34-O34</f>
        <v>0</v>
      </c>
      <c r="Q34" s="262">
        <f>+Q35</f>
        <v>0</v>
      </c>
      <c r="R34" s="262">
        <f t="shared" ref="R34:X34" si="5">+R35</f>
        <v>0</v>
      </c>
      <c r="S34" s="262">
        <f t="shared" si="5"/>
        <v>0</v>
      </c>
      <c r="T34" s="262">
        <f t="shared" si="5"/>
        <v>1200000</v>
      </c>
      <c r="U34" s="262">
        <f t="shared" si="5"/>
        <v>3600000</v>
      </c>
      <c r="V34" s="166">
        <f t="shared" si="5"/>
        <v>3600000</v>
      </c>
      <c r="W34" s="166">
        <f t="shared" si="5"/>
        <v>0</v>
      </c>
      <c r="X34" s="166">
        <f t="shared" si="5"/>
        <v>0</v>
      </c>
      <c r="Y34" s="166">
        <f t="shared" si="3"/>
        <v>8400000</v>
      </c>
      <c r="Z34" s="167">
        <f>+Z35</f>
        <v>24000000</v>
      </c>
    </row>
    <row r="35" spans="1:28" x14ac:dyDescent="0.25">
      <c r="A35" s="168" t="s">
        <v>164</v>
      </c>
      <c r="B35" s="169"/>
      <c r="C35" s="169"/>
      <c r="D35" s="170"/>
      <c r="E35" s="171">
        <v>32400000</v>
      </c>
      <c r="F35" s="172"/>
      <c r="G35" s="172"/>
      <c r="H35" s="172"/>
      <c r="I35" s="172"/>
      <c r="J35" s="172"/>
      <c r="K35" s="172"/>
      <c r="L35" s="172"/>
      <c r="M35" s="176"/>
      <c r="N35" s="172"/>
      <c r="O35" s="172">
        <f>E35+H35+K35</f>
        <v>32400000</v>
      </c>
      <c r="P35" s="172"/>
      <c r="Q35" s="256">
        <v>0</v>
      </c>
      <c r="R35" s="256">
        <v>0</v>
      </c>
      <c r="S35" s="256">
        <v>0</v>
      </c>
      <c r="T35" s="258">
        <v>1200000</v>
      </c>
      <c r="U35" s="258">
        <v>3600000</v>
      </c>
      <c r="V35" s="172">
        <v>3600000</v>
      </c>
      <c r="W35" s="172">
        <v>0</v>
      </c>
      <c r="X35" s="172">
        <v>0</v>
      </c>
      <c r="Y35" s="172">
        <f t="shared" si="3"/>
        <v>8400000</v>
      </c>
      <c r="Z35" s="174">
        <f>O35-Y35</f>
        <v>24000000</v>
      </c>
      <c r="AA35" s="155"/>
      <c r="AB35" s="155"/>
    </row>
    <row r="36" spans="1:28" x14ac:dyDescent="0.25">
      <c r="A36" s="161" t="s">
        <v>30</v>
      </c>
      <c r="B36" s="162">
        <v>3</v>
      </c>
      <c r="C36" s="162">
        <v>9</v>
      </c>
      <c r="D36" s="163">
        <v>2220000</v>
      </c>
      <c r="E36" s="164">
        <f>+B36*C36*D36</f>
        <v>59940000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6">
        <f>+E36</f>
        <v>59940000</v>
      </c>
      <c r="O36" s="166">
        <f>SUM(O37:O40)</f>
        <v>39960000</v>
      </c>
      <c r="P36" s="166">
        <f>N36-O36</f>
        <v>19980000</v>
      </c>
      <c r="Q36" s="262">
        <f>+Q37+Q39+Q40</f>
        <v>592000</v>
      </c>
      <c r="R36" s="262">
        <f t="shared" ref="R36:U36" si="6">+R37+R39+R40</f>
        <v>2220000</v>
      </c>
      <c r="S36" s="262">
        <f t="shared" si="6"/>
        <v>2220000</v>
      </c>
      <c r="T36" s="262">
        <f t="shared" si="6"/>
        <v>2590000</v>
      </c>
      <c r="U36" s="262">
        <f t="shared" si="6"/>
        <v>4440000</v>
      </c>
      <c r="V36" s="166">
        <f>+V37+V39+V40+V38</f>
        <v>4366000</v>
      </c>
      <c r="W36" s="166">
        <f t="shared" ref="W36:X36" si="7">+W37+W39+W40+W38</f>
        <v>0</v>
      </c>
      <c r="X36" s="166">
        <f t="shared" si="7"/>
        <v>0</v>
      </c>
      <c r="Y36" s="166">
        <f t="shared" si="3"/>
        <v>16428000</v>
      </c>
      <c r="Z36" s="167">
        <f>SUM(Z37:Z40)</f>
        <v>23532000</v>
      </c>
      <c r="AA36" s="155"/>
    </row>
    <row r="37" spans="1:28" x14ac:dyDescent="0.25">
      <c r="A37" s="168" t="s">
        <v>188</v>
      </c>
      <c r="B37" s="177">
        <v>1</v>
      </c>
      <c r="C37" s="177">
        <v>4.5</v>
      </c>
      <c r="D37" s="171">
        <v>2220000</v>
      </c>
      <c r="E37" s="171">
        <f>+B37*C37*D37</f>
        <v>9990000</v>
      </c>
      <c r="F37" s="173"/>
      <c r="G37" s="173"/>
      <c r="H37" s="173"/>
      <c r="I37" s="173"/>
      <c r="J37" s="173"/>
      <c r="K37" s="173"/>
      <c r="L37" s="173"/>
      <c r="M37" s="173"/>
      <c r="N37" s="173"/>
      <c r="O37" s="173">
        <f>E37+H37+K37</f>
        <v>9990000</v>
      </c>
      <c r="P37" s="173"/>
      <c r="Q37" s="258">
        <v>592000</v>
      </c>
      <c r="R37" s="258">
        <v>2220000</v>
      </c>
      <c r="S37" s="258">
        <v>2220000</v>
      </c>
      <c r="T37" s="258">
        <f>1628000+592000</f>
        <v>2220000</v>
      </c>
      <c r="U37" s="258">
        <f>1628000+592000</f>
        <v>2220000</v>
      </c>
      <c r="V37" s="172">
        <v>518000</v>
      </c>
      <c r="W37" s="172">
        <v>0</v>
      </c>
      <c r="X37" s="172">
        <v>0</v>
      </c>
      <c r="Y37" s="172">
        <f t="shared" si="3"/>
        <v>9990000</v>
      </c>
      <c r="Z37" s="174">
        <f>O37-Y37</f>
        <v>0</v>
      </c>
      <c r="AA37" s="155"/>
    </row>
    <row r="38" spans="1:28" x14ac:dyDescent="0.25">
      <c r="A38" s="94" t="s">
        <v>230</v>
      </c>
      <c r="B38" s="177"/>
      <c r="C38" s="177">
        <v>4.5</v>
      </c>
      <c r="D38" s="171">
        <v>2220000</v>
      </c>
      <c r="E38" s="171">
        <f>+C38*D38</f>
        <v>9990000</v>
      </c>
      <c r="F38" s="173"/>
      <c r="G38" s="173"/>
      <c r="H38" s="173"/>
      <c r="I38" s="173"/>
      <c r="J38" s="173"/>
      <c r="K38" s="173"/>
      <c r="L38" s="173"/>
      <c r="M38" s="173"/>
      <c r="N38" s="173"/>
      <c r="O38" s="173">
        <v>9990000</v>
      </c>
      <c r="P38" s="173"/>
      <c r="Q38" s="258"/>
      <c r="R38" s="258"/>
      <c r="S38" s="258"/>
      <c r="T38" s="258"/>
      <c r="U38" s="258"/>
      <c r="V38" s="256">
        <v>1628000</v>
      </c>
      <c r="W38" s="172"/>
      <c r="X38" s="172"/>
      <c r="Y38" s="172">
        <f t="shared" si="3"/>
        <v>1628000</v>
      </c>
      <c r="Z38" s="174">
        <f t="shared" ref="Z38:Z40" si="8">O38-Y38</f>
        <v>8362000</v>
      </c>
      <c r="AA38" s="155"/>
    </row>
    <row r="39" spans="1:28" x14ac:dyDescent="0.25">
      <c r="A39" s="168" t="s">
        <v>195</v>
      </c>
      <c r="B39" s="177">
        <v>1</v>
      </c>
      <c r="C39" s="177">
        <v>9</v>
      </c>
      <c r="D39" s="171">
        <v>2220000</v>
      </c>
      <c r="E39" s="171">
        <f>+B39*C39*D39</f>
        <v>19980000</v>
      </c>
      <c r="F39" s="173"/>
      <c r="G39" s="173"/>
      <c r="H39" s="173"/>
      <c r="I39" s="173"/>
      <c r="J39" s="173"/>
      <c r="K39" s="173"/>
      <c r="L39" s="173"/>
      <c r="M39" s="173"/>
      <c r="N39" s="173"/>
      <c r="O39" s="172">
        <f t="shared" ref="O39:O40" si="9">E39+H39+K39</f>
        <v>19980000</v>
      </c>
      <c r="P39" s="173"/>
      <c r="Q39" s="258"/>
      <c r="R39" s="258"/>
      <c r="S39" s="258"/>
      <c r="T39" s="258">
        <v>370000</v>
      </c>
      <c r="U39" s="258">
        <v>2220000</v>
      </c>
      <c r="V39" s="172">
        <v>2220000</v>
      </c>
      <c r="W39" s="172">
        <v>0</v>
      </c>
      <c r="X39" s="172">
        <v>0</v>
      </c>
      <c r="Y39" s="172">
        <f t="shared" si="3"/>
        <v>4810000</v>
      </c>
      <c r="Z39" s="174">
        <f t="shared" si="8"/>
        <v>15170000</v>
      </c>
      <c r="AA39" s="155"/>
    </row>
    <row r="40" spans="1:28" x14ac:dyDescent="0.25">
      <c r="A40" s="168"/>
      <c r="B40" s="177"/>
      <c r="C40" s="177"/>
      <c r="D40" s="171"/>
      <c r="E40" s="171">
        <f>+B40*C40*D40</f>
        <v>0</v>
      </c>
      <c r="F40" s="173"/>
      <c r="G40" s="173"/>
      <c r="H40" s="173"/>
      <c r="I40" s="173"/>
      <c r="J40" s="173"/>
      <c r="K40" s="173"/>
      <c r="L40" s="173"/>
      <c r="M40" s="173"/>
      <c r="N40" s="173"/>
      <c r="O40" s="172">
        <f t="shared" si="9"/>
        <v>0</v>
      </c>
      <c r="P40" s="173"/>
      <c r="Q40" s="256"/>
      <c r="R40" s="256"/>
      <c r="S40" s="256"/>
      <c r="T40" s="256">
        <v>0</v>
      </c>
      <c r="U40" s="256">
        <v>0</v>
      </c>
      <c r="V40" s="172">
        <v>0</v>
      </c>
      <c r="W40" s="172">
        <v>0</v>
      </c>
      <c r="X40" s="172">
        <v>0</v>
      </c>
      <c r="Y40" s="172">
        <f t="shared" si="3"/>
        <v>0</v>
      </c>
      <c r="Z40" s="174">
        <f t="shared" si="8"/>
        <v>0</v>
      </c>
      <c r="AA40" s="155"/>
    </row>
    <row r="41" spans="1:28" x14ac:dyDescent="0.25">
      <c r="A41" s="168"/>
      <c r="B41" s="177"/>
      <c r="C41" s="177"/>
      <c r="D41" s="171"/>
      <c r="E41" s="171"/>
      <c r="F41" s="173"/>
      <c r="G41" s="173"/>
      <c r="H41" s="173"/>
      <c r="I41" s="173"/>
      <c r="J41" s="173"/>
      <c r="K41" s="173"/>
      <c r="L41" s="173"/>
      <c r="M41" s="173"/>
      <c r="N41" s="173"/>
      <c r="O41" s="172"/>
      <c r="P41" s="173"/>
      <c r="Q41" s="256"/>
      <c r="R41" s="256"/>
      <c r="S41" s="256"/>
      <c r="T41" s="256"/>
      <c r="U41" s="256"/>
      <c r="V41" s="172"/>
      <c r="W41" s="172"/>
      <c r="X41" s="172"/>
      <c r="Y41" s="172"/>
      <c r="Z41" s="178"/>
      <c r="AA41" s="155"/>
    </row>
    <row r="42" spans="1:28" x14ac:dyDescent="0.25">
      <c r="A42" s="161" t="s">
        <v>157</v>
      </c>
      <c r="B42" s="162">
        <f>3</f>
        <v>3</v>
      </c>
      <c r="C42" s="162">
        <v>10</v>
      </c>
      <c r="D42" s="163">
        <v>1995000</v>
      </c>
      <c r="E42" s="164">
        <f>(B42*C42*D42)*30%</f>
        <v>17955000</v>
      </c>
      <c r="F42" s="165">
        <v>0</v>
      </c>
      <c r="G42" s="165">
        <v>0</v>
      </c>
      <c r="H42" s="164">
        <f>SUM(H43:H46)</f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166">
        <f>+E42</f>
        <v>17955000</v>
      </c>
      <c r="O42" s="166">
        <f>SUM(O43:O46)</f>
        <v>17955000</v>
      </c>
      <c r="P42" s="166">
        <f>N42-O42</f>
        <v>0</v>
      </c>
      <c r="Q42" s="262">
        <f t="shared" ref="Q42:X42" si="10">SUM(Q43:Q46)</f>
        <v>319200</v>
      </c>
      <c r="R42" s="262">
        <f t="shared" si="10"/>
        <v>598500</v>
      </c>
      <c r="S42" s="262">
        <f t="shared" si="10"/>
        <v>598500</v>
      </c>
      <c r="T42" s="262">
        <f t="shared" si="10"/>
        <v>1516200</v>
      </c>
      <c r="U42" s="262">
        <f t="shared" si="10"/>
        <v>1815450</v>
      </c>
      <c r="V42" s="166">
        <f t="shared" si="10"/>
        <v>1795500</v>
      </c>
      <c r="W42" s="166">
        <f t="shared" si="10"/>
        <v>0</v>
      </c>
      <c r="X42" s="166">
        <f t="shared" si="10"/>
        <v>0</v>
      </c>
      <c r="Y42" s="166">
        <f>SUM(Q42:X42)</f>
        <v>6643350</v>
      </c>
      <c r="Z42" s="167">
        <f>SUM(Z43:Z46)</f>
        <v>11311650</v>
      </c>
      <c r="AA42" s="155"/>
    </row>
    <row r="43" spans="1:28" ht="15" customHeight="1" x14ac:dyDescent="0.25">
      <c r="A43" s="179" t="s">
        <v>189</v>
      </c>
      <c r="B43" s="180">
        <v>1</v>
      </c>
      <c r="C43" s="180">
        <v>4.5</v>
      </c>
      <c r="D43" s="181">
        <v>1995000</v>
      </c>
      <c r="E43" s="181">
        <f>(C43*D43)*30%</f>
        <v>2693250</v>
      </c>
      <c r="F43" s="172"/>
      <c r="G43" s="172"/>
      <c r="H43" s="172">
        <v>0</v>
      </c>
      <c r="I43" s="172"/>
      <c r="J43" s="172"/>
      <c r="K43" s="172"/>
      <c r="L43" s="172"/>
      <c r="M43" s="172"/>
      <c r="N43" s="172"/>
      <c r="O43" s="182">
        <f t="shared" ref="O43:O46" si="11">E43+H43+K43</f>
        <v>2693250</v>
      </c>
      <c r="P43" s="172"/>
      <c r="Q43" s="256">
        <f>1064000*30%</f>
        <v>319200</v>
      </c>
      <c r="R43" s="256">
        <f>1995000*30%</f>
        <v>598500</v>
      </c>
      <c r="S43" s="256">
        <f>1995000*30%</f>
        <v>598500</v>
      </c>
      <c r="T43" s="256">
        <f t="shared" ref="T43" si="12">1995000*30%</f>
        <v>598500</v>
      </c>
      <c r="U43" s="256">
        <f>1928500*30%</f>
        <v>578550</v>
      </c>
      <c r="V43" s="172">
        <v>0</v>
      </c>
      <c r="W43" s="172">
        <v>0</v>
      </c>
      <c r="X43" s="172">
        <v>0</v>
      </c>
      <c r="Y43" s="172">
        <f>SUM(Q43:X43)</f>
        <v>2693250</v>
      </c>
      <c r="Z43" s="174">
        <f>O43-Y43</f>
        <v>0</v>
      </c>
      <c r="AA43" s="155"/>
    </row>
    <row r="44" spans="1:28" ht="15" customHeight="1" x14ac:dyDescent="0.25">
      <c r="A44" s="179" t="s">
        <v>214</v>
      </c>
      <c r="B44" s="180"/>
      <c r="C44" s="180">
        <v>7.5</v>
      </c>
      <c r="D44" s="181">
        <v>1995000</v>
      </c>
      <c r="E44" s="181">
        <f>(C44*D44)*30%</f>
        <v>4488750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82">
        <f t="shared" si="11"/>
        <v>4488750</v>
      </c>
      <c r="P44" s="172"/>
      <c r="Q44" s="256"/>
      <c r="R44" s="256"/>
      <c r="S44" s="256"/>
      <c r="T44" s="256"/>
      <c r="U44" s="256">
        <f>133000*30%</f>
        <v>39900</v>
      </c>
      <c r="V44" s="256">
        <f>1995000*30%</f>
        <v>598500</v>
      </c>
      <c r="W44" s="172"/>
      <c r="X44" s="172"/>
      <c r="Y44" s="172">
        <f>SUM(Q44:X44)</f>
        <v>638400</v>
      </c>
      <c r="Z44" s="174">
        <f>O44-Y44</f>
        <v>3850350</v>
      </c>
      <c r="AA44" s="155"/>
    </row>
    <row r="45" spans="1:28" ht="15" customHeight="1" x14ac:dyDescent="0.25">
      <c r="A45" s="179" t="s">
        <v>166</v>
      </c>
      <c r="B45" s="180">
        <v>1</v>
      </c>
      <c r="C45" s="180">
        <v>9</v>
      </c>
      <c r="D45" s="181">
        <v>1995000</v>
      </c>
      <c r="E45" s="181">
        <f>(C45*D45)*30%</f>
        <v>5386500</v>
      </c>
      <c r="F45" s="172"/>
      <c r="G45" s="172"/>
      <c r="H45" s="172">
        <v>0</v>
      </c>
      <c r="I45" s="172"/>
      <c r="J45" s="172"/>
      <c r="K45" s="172"/>
      <c r="L45" s="172"/>
      <c r="M45" s="172"/>
      <c r="N45" s="172"/>
      <c r="O45" s="182">
        <f t="shared" si="11"/>
        <v>5386500</v>
      </c>
      <c r="P45" s="172"/>
      <c r="Q45" s="256"/>
      <c r="R45" s="256"/>
      <c r="S45" s="256"/>
      <c r="T45" s="256">
        <f>1529500*30%</f>
        <v>458850</v>
      </c>
      <c r="U45" s="256">
        <f>1995000*30%</f>
        <v>598500</v>
      </c>
      <c r="V45" s="172">
        <f t="shared" ref="V45:V46" si="13">1995000*30%</f>
        <v>598500</v>
      </c>
      <c r="W45" s="172">
        <v>0</v>
      </c>
      <c r="X45" s="172">
        <v>0</v>
      </c>
      <c r="Y45" s="172">
        <f>SUM(Q45:X45)</f>
        <v>1655850</v>
      </c>
      <c r="Z45" s="174">
        <f>O45-Y45</f>
        <v>3730650</v>
      </c>
      <c r="AA45" s="155"/>
    </row>
    <row r="46" spans="1:28" ht="15" customHeight="1" x14ac:dyDescent="0.25">
      <c r="A46" s="179" t="s">
        <v>167</v>
      </c>
      <c r="B46" s="180">
        <v>1</v>
      </c>
      <c r="C46" s="180">
        <v>9</v>
      </c>
      <c r="D46" s="181">
        <v>1995000</v>
      </c>
      <c r="E46" s="181">
        <f>(C46*D46)*30%</f>
        <v>5386500</v>
      </c>
      <c r="F46" s="172"/>
      <c r="G46" s="172"/>
      <c r="H46" s="172">
        <v>0</v>
      </c>
      <c r="I46" s="172"/>
      <c r="J46" s="172"/>
      <c r="K46" s="172"/>
      <c r="L46" s="172"/>
      <c r="M46" s="172"/>
      <c r="N46" s="172"/>
      <c r="O46" s="182">
        <f t="shared" si="11"/>
        <v>5386500</v>
      </c>
      <c r="P46" s="172"/>
      <c r="Q46" s="256"/>
      <c r="R46" s="256"/>
      <c r="S46" s="256"/>
      <c r="T46" s="256">
        <f>1529500*30%</f>
        <v>458850</v>
      </c>
      <c r="U46" s="256">
        <f>1995000*30%</f>
        <v>598500</v>
      </c>
      <c r="V46" s="172">
        <f t="shared" si="13"/>
        <v>598500</v>
      </c>
      <c r="W46" s="172">
        <v>0</v>
      </c>
      <c r="X46" s="172">
        <v>0</v>
      </c>
      <c r="Y46" s="172">
        <f>SUM(Q46:X46)</f>
        <v>1655850</v>
      </c>
      <c r="Z46" s="174">
        <f>O46-Y46</f>
        <v>3730650</v>
      </c>
      <c r="AA46" s="155"/>
    </row>
    <row r="47" spans="1:28" ht="15" customHeight="1" x14ac:dyDescent="0.25">
      <c r="A47" s="179"/>
      <c r="B47" s="169"/>
      <c r="C47" s="169"/>
      <c r="D47" s="170"/>
      <c r="E47" s="171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256"/>
      <c r="R47" s="256"/>
      <c r="S47" s="256"/>
      <c r="T47" s="256"/>
      <c r="U47" s="256"/>
      <c r="V47" s="172"/>
      <c r="W47" s="172"/>
      <c r="X47" s="172"/>
      <c r="Y47" s="172"/>
      <c r="Z47" s="178"/>
      <c r="AA47" s="155"/>
    </row>
    <row r="48" spans="1:28" ht="15" customHeight="1" x14ac:dyDescent="0.25">
      <c r="A48" s="161" t="s">
        <v>157</v>
      </c>
      <c r="B48" s="162">
        <v>24</v>
      </c>
      <c r="C48" s="162">
        <v>9</v>
      </c>
      <c r="D48" s="163">
        <v>1995000</v>
      </c>
      <c r="E48" s="164">
        <f>+B48*C48*D48</f>
        <v>430920000</v>
      </c>
      <c r="F48" s="165">
        <v>0</v>
      </c>
      <c r="G48" s="165">
        <v>0</v>
      </c>
      <c r="H48" s="164">
        <f>SUM(H75:H76)</f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6">
        <f>+E48</f>
        <v>430920000</v>
      </c>
      <c r="O48" s="166">
        <f>SUM(O49:O73)</f>
        <v>425932500</v>
      </c>
      <c r="P48" s="166">
        <f>N48-O48</f>
        <v>4987500</v>
      </c>
      <c r="Q48" s="262">
        <f>SUM(Q49:Q73)</f>
        <v>1463000</v>
      </c>
      <c r="R48" s="262">
        <f t="shared" ref="R48:X48" si="14">SUM(R49:R73)</f>
        <v>1995000</v>
      </c>
      <c r="S48" s="262">
        <f t="shared" si="14"/>
        <v>1995000</v>
      </c>
      <c r="T48" s="262">
        <f t="shared" si="14"/>
        <v>16891000</v>
      </c>
      <c r="U48" s="262">
        <f t="shared" si="14"/>
        <v>39501000</v>
      </c>
      <c r="V48" s="166">
        <f>SUM(V49:V73)</f>
        <v>47880000</v>
      </c>
      <c r="W48" s="166">
        <f t="shared" si="14"/>
        <v>0</v>
      </c>
      <c r="X48" s="166">
        <f t="shared" si="14"/>
        <v>0</v>
      </c>
      <c r="Y48" s="166">
        <f t="shared" ref="Y48:Y73" si="15">SUM(Q48:X48)</f>
        <v>109725000</v>
      </c>
      <c r="Z48" s="167">
        <f>SUM(Z49:Z73)</f>
        <v>316207500</v>
      </c>
      <c r="AA48" s="155"/>
    </row>
    <row r="49" spans="1:27" ht="15" customHeight="1" x14ac:dyDescent="0.25">
      <c r="A49" s="179" t="s">
        <v>190</v>
      </c>
      <c r="B49" s="177">
        <v>1</v>
      </c>
      <c r="C49" s="177">
        <v>4.5</v>
      </c>
      <c r="D49" s="171">
        <v>1995000</v>
      </c>
      <c r="E49" s="171">
        <f>+C49*D49</f>
        <v>8977500</v>
      </c>
      <c r="F49" s="173"/>
      <c r="G49" s="173"/>
      <c r="H49" s="183"/>
      <c r="I49" s="173"/>
      <c r="J49" s="173"/>
      <c r="K49" s="173"/>
      <c r="L49" s="173"/>
      <c r="M49" s="173"/>
      <c r="N49" s="184"/>
      <c r="O49" s="173">
        <f t="shared" ref="O49:O51" si="16">E49+H49+K49</f>
        <v>8977500</v>
      </c>
      <c r="P49" s="184"/>
      <c r="Q49" s="258">
        <v>1463000</v>
      </c>
      <c r="R49" s="258">
        <v>1995000</v>
      </c>
      <c r="S49" s="258">
        <v>1995000</v>
      </c>
      <c r="T49" s="258">
        <v>1995000</v>
      </c>
      <c r="U49" s="258">
        <v>1529500</v>
      </c>
      <c r="V49" s="173"/>
      <c r="W49" s="173"/>
      <c r="X49" s="184"/>
      <c r="Y49" s="173">
        <f t="shared" si="15"/>
        <v>8977500</v>
      </c>
      <c r="Z49" s="185">
        <f t="shared" ref="Z49:Z73" si="17">O49-Y49</f>
        <v>0</v>
      </c>
      <c r="AA49" s="155"/>
    </row>
    <row r="50" spans="1:27" ht="15" customHeight="1" x14ac:dyDescent="0.25">
      <c r="A50" s="179" t="s">
        <v>213</v>
      </c>
      <c r="B50" s="177"/>
      <c r="C50" s="177">
        <v>7.5</v>
      </c>
      <c r="D50" s="171">
        <v>1995000</v>
      </c>
      <c r="E50" s="171">
        <f t="shared" ref="E50:E51" si="18">+C50*D50</f>
        <v>14962500</v>
      </c>
      <c r="F50" s="173"/>
      <c r="G50" s="173"/>
      <c r="H50" s="183"/>
      <c r="I50" s="173"/>
      <c r="J50" s="173"/>
      <c r="K50" s="173"/>
      <c r="L50" s="173"/>
      <c r="M50" s="173"/>
      <c r="N50" s="184"/>
      <c r="O50" s="173">
        <f t="shared" si="16"/>
        <v>14962500</v>
      </c>
      <c r="P50" s="184"/>
      <c r="Q50" s="258"/>
      <c r="R50" s="258"/>
      <c r="S50" s="258"/>
      <c r="T50" s="258"/>
      <c r="U50" s="258">
        <v>133000</v>
      </c>
      <c r="V50" s="276">
        <f>1995000+66500</f>
        <v>2061500</v>
      </c>
      <c r="W50" s="173"/>
      <c r="X50" s="184"/>
      <c r="Y50" s="173">
        <f t="shared" si="15"/>
        <v>2194500</v>
      </c>
      <c r="Z50" s="185">
        <f t="shared" si="17"/>
        <v>12768000</v>
      </c>
      <c r="AA50" s="155"/>
    </row>
    <row r="51" spans="1:27" ht="15" customHeight="1" x14ac:dyDescent="0.25">
      <c r="A51" s="179" t="s">
        <v>165</v>
      </c>
      <c r="B51" s="177"/>
      <c r="C51" s="177">
        <v>7</v>
      </c>
      <c r="D51" s="171">
        <v>1995000</v>
      </c>
      <c r="E51" s="171">
        <f t="shared" si="18"/>
        <v>13965000</v>
      </c>
      <c r="F51" s="173"/>
      <c r="G51" s="173"/>
      <c r="H51" s="183"/>
      <c r="I51" s="173"/>
      <c r="J51" s="173"/>
      <c r="K51" s="173"/>
      <c r="L51" s="173"/>
      <c r="M51" s="173"/>
      <c r="N51" s="184"/>
      <c r="O51" s="173">
        <f t="shared" si="16"/>
        <v>13965000</v>
      </c>
      <c r="P51" s="184"/>
      <c r="Q51" s="258"/>
      <c r="R51" s="258"/>
      <c r="S51" s="258"/>
      <c r="T51" s="258">
        <v>1529500</v>
      </c>
      <c r="U51" s="258">
        <v>1995000</v>
      </c>
      <c r="V51" s="173">
        <f>1995000</f>
        <v>1995000</v>
      </c>
      <c r="W51" s="173"/>
      <c r="X51" s="184"/>
      <c r="Y51" s="173">
        <f t="shared" si="15"/>
        <v>5519500</v>
      </c>
      <c r="Z51" s="185">
        <f t="shared" si="17"/>
        <v>8445500</v>
      </c>
      <c r="AA51" s="155"/>
    </row>
    <row r="52" spans="1:27" s="137" customFormat="1" ht="15" customHeight="1" x14ac:dyDescent="0.25">
      <c r="A52" s="179" t="s">
        <v>168</v>
      </c>
      <c r="B52" s="177">
        <v>1</v>
      </c>
      <c r="C52" s="177">
        <v>9</v>
      </c>
      <c r="D52" s="171">
        <v>1995000</v>
      </c>
      <c r="E52" s="171">
        <f t="shared" ref="E52:E63" si="19">+B52*C52*D52</f>
        <v>17955000</v>
      </c>
      <c r="F52" s="173"/>
      <c r="G52" s="173"/>
      <c r="H52" s="183"/>
      <c r="I52" s="173"/>
      <c r="J52" s="173"/>
      <c r="K52" s="173"/>
      <c r="L52" s="173"/>
      <c r="M52" s="173"/>
      <c r="N52" s="184"/>
      <c r="O52" s="173">
        <f t="shared" ref="O52:O73" si="20">E52+H52+K52</f>
        <v>17955000</v>
      </c>
      <c r="P52" s="184"/>
      <c r="Q52" s="258"/>
      <c r="R52" s="258"/>
      <c r="S52" s="258"/>
      <c r="T52" s="258">
        <v>1463000</v>
      </c>
      <c r="U52" s="258">
        <v>1995000</v>
      </c>
      <c r="V52" s="173">
        <v>1995000</v>
      </c>
      <c r="W52" s="173"/>
      <c r="X52" s="184"/>
      <c r="Y52" s="173">
        <f t="shared" si="15"/>
        <v>5453000</v>
      </c>
      <c r="Z52" s="185">
        <f t="shared" si="17"/>
        <v>12502000</v>
      </c>
      <c r="AA52" s="186"/>
    </row>
    <row r="53" spans="1:27" s="137" customFormat="1" ht="15" customHeight="1" x14ac:dyDescent="0.25">
      <c r="A53" s="179" t="s">
        <v>169</v>
      </c>
      <c r="B53" s="177">
        <v>1</v>
      </c>
      <c r="C53" s="177">
        <v>9</v>
      </c>
      <c r="D53" s="171">
        <v>1995000</v>
      </c>
      <c r="E53" s="171">
        <f t="shared" si="19"/>
        <v>17955000</v>
      </c>
      <c r="F53" s="173"/>
      <c r="G53" s="173"/>
      <c r="H53" s="183"/>
      <c r="I53" s="173"/>
      <c r="J53" s="173"/>
      <c r="K53" s="173"/>
      <c r="L53" s="173"/>
      <c r="M53" s="173"/>
      <c r="N53" s="184"/>
      <c r="O53" s="173">
        <f t="shared" si="20"/>
        <v>17955000</v>
      </c>
      <c r="P53" s="184"/>
      <c r="Q53" s="258"/>
      <c r="R53" s="258"/>
      <c r="S53" s="258"/>
      <c r="T53" s="258">
        <v>1463000</v>
      </c>
      <c r="U53" s="258">
        <v>1995000</v>
      </c>
      <c r="V53" s="173">
        <v>1995000</v>
      </c>
      <c r="W53" s="173"/>
      <c r="X53" s="184"/>
      <c r="Y53" s="173">
        <f t="shared" si="15"/>
        <v>5453000</v>
      </c>
      <c r="Z53" s="185">
        <f t="shared" si="17"/>
        <v>12502000</v>
      </c>
      <c r="AA53" s="186"/>
    </row>
    <row r="54" spans="1:27" s="137" customFormat="1" ht="15" customHeight="1" x14ac:dyDescent="0.25">
      <c r="A54" s="179" t="s">
        <v>170</v>
      </c>
      <c r="B54" s="177">
        <v>1</v>
      </c>
      <c r="C54" s="177">
        <v>9</v>
      </c>
      <c r="D54" s="171">
        <v>1995000</v>
      </c>
      <c r="E54" s="171">
        <f t="shared" si="19"/>
        <v>17955000</v>
      </c>
      <c r="F54" s="173"/>
      <c r="G54" s="173"/>
      <c r="H54" s="183"/>
      <c r="I54" s="173"/>
      <c r="J54" s="173"/>
      <c r="K54" s="173"/>
      <c r="L54" s="173"/>
      <c r="M54" s="173"/>
      <c r="N54" s="184"/>
      <c r="O54" s="173">
        <f t="shared" si="20"/>
        <v>17955000</v>
      </c>
      <c r="P54" s="184"/>
      <c r="Q54" s="258"/>
      <c r="R54" s="258"/>
      <c r="S54" s="258"/>
      <c r="T54" s="258">
        <v>1463000</v>
      </c>
      <c r="U54" s="258">
        <v>1995000</v>
      </c>
      <c r="V54" s="173">
        <v>1995000</v>
      </c>
      <c r="W54" s="173"/>
      <c r="X54" s="184"/>
      <c r="Y54" s="173">
        <f t="shared" si="15"/>
        <v>5453000</v>
      </c>
      <c r="Z54" s="185">
        <f t="shared" si="17"/>
        <v>12502000</v>
      </c>
      <c r="AA54" s="186"/>
    </row>
    <row r="55" spans="1:27" s="137" customFormat="1" ht="15" customHeight="1" x14ac:dyDescent="0.25">
      <c r="A55" s="179" t="s">
        <v>171</v>
      </c>
      <c r="B55" s="177">
        <v>1</v>
      </c>
      <c r="C55" s="177">
        <v>9</v>
      </c>
      <c r="D55" s="171">
        <v>1995000</v>
      </c>
      <c r="E55" s="171">
        <f t="shared" si="19"/>
        <v>17955000</v>
      </c>
      <c r="F55" s="173"/>
      <c r="G55" s="173"/>
      <c r="H55" s="183"/>
      <c r="I55" s="173"/>
      <c r="J55" s="173"/>
      <c r="K55" s="173"/>
      <c r="L55" s="173"/>
      <c r="M55" s="173"/>
      <c r="N55" s="184"/>
      <c r="O55" s="173">
        <f t="shared" si="20"/>
        <v>17955000</v>
      </c>
      <c r="P55" s="184"/>
      <c r="Q55" s="258"/>
      <c r="R55" s="258"/>
      <c r="S55" s="258"/>
      <c r="T55" s="258">
        <v>1463000</v>
      </c>
      <c r="U55" s="258">
        <v>1995000</v>
      </c>
      <c r="V55" s="173">
        <v>1995000</v>
      </c>
      <c r="W55" s="173"/>
      <c r="X55" s="184"/>
      <c r="Y55" s="173">
        <f t="shared" si="15"/>
        <v>5453000</v>
      </c>
      <c r="Z55" s="185">
        <f t="shared" si="17"/>
        <v>12502000</v>
      </c>
      <c r="AA55" s="186"/>
    </row>
    <row r="56" spans="1:27" s="137" customFormat="1" ht="15" customHeight="1" x14ac:dyDescent="0.25">
      <c r="A56" s="179" t="s">
        <v>172</v>
      </c>
      <c r="B56" s="177">
        <v>1</v>
      </c>
      <c r="C56" s="177">
        <v>9</v>
      </c>
      <c r="D56" s="171">
        <v>1995000</v>
      </c>
      <c r="E56" s="171">
        <f t="shared" si="19"/>
        <v>17955000</v>
      </c>
      <c r="F56" s="173"/>
      <c r="G56" s="173"/>
      <c r="H56" s="183"/>
      <c r="I56" s="173"/>
      <c r="J56" s="173"/>
      <c r="K56" s="173"/>
      <c r="L56" s="173"/>
      <c r="M56" s="173"/>
      <c r="N56" s="184"/>
      <c r="O56" s="173">
        <f t="shared" si="20"/>
        <v>17955000</v>
      </c>
      <c r="P56" s="184"/>
      <c r="Q56" s="258"/>
      <c r="R56" s="258"/>
      <c r="S56" s="258"/>
      <c r="T56" s="258">
        <v>1463000</v>
      </c>
      <c r="U56" s="258">
        <v>1995000</v>
      </c>
      <c r="V56" s="173">
        <v>1995000</v>
      </c>
      <c r="W56" s="173"/>
      <c r="X56" s="184"/>
      <c r="Y56" s="173">
        <f t="shared" si="15"/>
        <v>5453000</v>
      </c>
      <c r="Z56" s="185">
        <f t="shared" si="17"/>
        <v>12502000</v>
      </c>
      <c r="AA56" s="186"/>
    </row>
    <row r="57" spans="1:27" s="137" customFormat="1" ht="15" customHeight="1" x14ac:dyDescent="0.25">
      <c r="A57" s="179" t="s">
        <v>173</v>
      </c>
      <c r="B57" s="177">
        <v>1</v>
      </c>
      <c r="C57" s="177">
        <v>9</v>
      </c>
      <c r="D57" s="171">
        <v>1995000</v>
      </c>
      <c r="E57" s="171">
        <f t="shared" si="19"/>
        <v>17955000</v>
      </c>
      <c r="F57" s="173"/>
      <c r="G57" s="173"/>
      <c r="H57" s="183"/>
      <c r="I57" s="173"/>
      <c r="J57" s="173"/>
      <c r="K57" s="173"/>
      <c r="L57" s="173"/>
      <c r="M57" s="173"/>
      <c r="N57" s="184"/>
      <c r="O57" s="173">
        <f t="shared" si="20"/>
        <v>17955000</v>
      </c>
      <c r="P57" s="184"/>
      <c r="Q57" s="258"/>
      <c r="R57" s="258"/>
      <c r="S57" s="258"/>
      <c r="T57" s="258">
        <v>1463000</v>
      </c>
      <c r="U57" s="258">
        <v>1995000</v>
      </c>
      <c r="V57" s="173">
        <v>1995000</v>
      </c>
      <c r="W57" s="173"/>
      <c r="X57" s="184"/>
      <c r="Y57" s="173">
        <f t="shared" si="15"/>
        <v>5453000</v>
      </c>
      <c r="Z57" s="185">
        <f t="shared" si="17"/>
        <v>12502000</v>
      </c>
      <c r="AA57" s="186"/>
    </row>
    <row r="58" spans="1:27" s="137" customFormat="1" ht="15" customHeight="1" x14ac:dyDescent="0.25">
      <c r="A58" s="179" t="s">
        <v>174</v>
      </c>
      <c r="B58" s="177">
        <v>1</v>
      </c>
      <c r="C58" s="177">
        <v>9</v>
      </c>
      <c r="D58" s="171">
        <v>1995000</v>
      </c>
      <c r="E58" s="171">
        <f t="shared" si="19"/>
        <v>17955000</v>
      </c>
      <c r="F58" s="173"/>
      <c r="G58" s="173"/>
      <c r="H58" s="183"/>
      <c r="I58" s="173"/>
      <c r="J58" s="173"/>
      <c r="K58" s="173"/>
      <c r="L58" s="173"/>
      <c r="M58" s="173"/>
      <c r="N58" s="184"/>
      <c r="O58" s="173">
        <f t="shared" si="20"/>
        <v>17955000</v>
      </c>
      <c r="P58" s="184"/>
      <c r="Q58" s="258"/>
      <c r="R58" s="258"/>
      <c r="S58" s="258"/>
      <c r="T58" s="258">
        <v>1330000</v>
      </c>
      <c r="U58" s="258">
        <v>1995000</v>
      </c>
      <c r="V58" s="173">
        <v>1995000</v>
      </c>
      <c r="W58" s="173"/>
      <c r="X58" s="184"/>
      <c r="Y58" s="173">
        <f t="shared" si="15"/>
        <v>5320000</v>
      </c>
      <c r="Z58" s="185">
        <f t="shared" si="17"/>
        <v>12635000</v>
      </c>
      <c r="AA58" s="186"/>
    </row>
    <row r="59" spans="1:27" s="137" customFormat="1" ht="15" customHeight="1" x14ac:dyDescent="0.25">
      <c r="A59" s="179" t="s">
        <v>175</v>
      </c>
      <c r="B59" s="177">
        <v>1</v>
      </c>
      <c r="C59" s="177">
        <v>9</v>
      </c>
      <c r="D59" s="171">
        <v>1995000</v>
      </c>
      <c r="E59" s="171">
        <f t="shared" si="19"/>
        <v>17955000</v>
      </c>
      <c r="F59" s="173"/>
      <c r="G59" s="173"/>
      <c r="H59" s="183"/>
      <c r="I59" s="173"/>
      <c r="J59" s="173"/>
      <c r="K59" s="173"/>
      <c r="L59" s="173"/>
      <c r="M59" s="173"/>
      <c r="N59" s="184"/>
      <c r="O59" s="173">
        <f t="shared" si="20"/>
        <v>17955000</v>
      </c>
      <c r="P59" s="184"/>
      <c r="Q59" s="258"/>
      <c r="R59" s="258"/>
      <c r="S59" s="258"/>
      <c r="T59" s="258">
        <v>1130500</v>
      </c>
      <c r="U59" s="258">
        <v>1995000</v>
      </c>
      <c r="V59" s="173">
        <v>1995000</v>
      </c>
      <c r="W59" s="173"/>
      <c r="X59" s="184"/>
      <c r="Y59" s="173">
        <f t="shared" si="15"/>
        <v>5120500</v>
      </c>
      <c r="Z59" s="185">
        <f t="shared" si="17"/>
        <v>12834500</v>
      </c>
      <c r="AA59" s="186"/>
    </row>
    <row r="60" spans="1:27" s="137" customFormat="1" ht="15" customHeight="1" x14ac:dyDescent="0.25">
      <c r="A60" s="179" t="s">
        <v>176</v>
      </c>
      <c r="B60" s="177">
        <v>1</v>
      </c>
      <c r="C60" s="177">
        <v>9</v>
      </c>
      <c r="D60" s="171">
        <v>1995000</v>
      </c>
      <c r="E60" s="171">
        <f t="shared" si="19"/>
        <v>17955000</v>
      </c>
      <c r="F60" s="173"/>
      <c r="G60" s="173"/>
      <c r="H60" s="183"/>
      <c r="I60" s="173"/>
      <c r="J60" s="173"/>
      <c r="K60" s="173"/>
      <c r="L60" s="173"/>
      <c r="M60" s="173"/>
      <c r="N60" s="184"/>
      <c r="O60" s="173">
        <f t="shared" si="20"/>
        <v>17955000</v>
      </c>
      <c r="P60" s="184"/>
      <c r="Q60" s="258"/>
      <c r="R60" s="258"/>
      <c r="S60" s="258"/>
      <c r="T60" s="258">
        <v>1064000</v>
      </c>
      <c r="U60" s="258">
        <v>1995000</v>
      </c>
      <c r="V60" s="173">
        <v>1995000</v>
      </c>
      <c r="W60" s="173"/>
      <c r="X60" s="184"/>
      <c r="Y60" s="173">
        <f t="shared" si="15"/>
        <v>5054000</v>
      </c>
      <c r="Z60" s="185">
        <f t="shared" si="17"/>
        <v>12901000</v>
      </c>
      <c r="AA60" s="186"/>
    </row>
    <row r="61" spans="1:27" s="137" customFormat="1" ht="15" customHeight="1" x14ac:dyDescent="0.25">
      <c r="A61" s="179" t="s">
        <v>177</v>
      </c>
      <c r="B61" s="177">
        <v>1</v>
      </c>
      <c r="C61" s="177">
        <v>9</v>
      </c>
      <c r="D61" s="171">
        <v>1995000</v>
      </c>
      <c r="E61" s="171">
        <f t="shared" si="19"/>
        <v>17955000</v>
      </c>
      <c r="F61" s="173"/>
      <c r="G61" s="173"/>
      <c r="H61" s="183"/>
      <c r="I61" s="173"/>
      <c r="J61" s="173"/>
      <c r="K61" s="173"/>
      <c r="L61" s="173"/>
      <c r="M61" s="173"/>
      <c r="N61" s="184"/>
      <c r="O61" s="173">
        <f t="shared" si="20"/>
        <v>17955000</v>
      </c>
      <c r="P61" s="184"/>
      <c r="Q61" s="258"/>
      <c r="R61" s="258"/>
      <c r="S61" s="258"/>
      <c r="T61" s="258">
        <v>399000</v>
      </c>
      <c r="U61" s="258">
        <v>1995000</v>
      </c>
      <c r="V61" s="173">
        <v>1995000</v>
      </c>
      <c r="W61" s="173"/>
      <c r="X61" s="184"/>
      <c r="Y61" s="173">
        <f t="shared" si="15"/>
        <v>4389000</v>
      </c>
      <c r="Z61" s="185">
        <f t="shared" si="17"/>
        <v>13566000</v>
      </c>
      <c r="AA61" s="186"/>
    </row>
    <row r="62" spans="1:27" s="137" customFormat="1" ht="15" customHeight="1" x14ac:dyDescent="0.25">
      <c r="A62" s="168" t="s">
        <v>194</v>
      </c>
      <c r="B62" s="177">
        <v>1</v>
      </c>
      <c r="C62" s="177">
        <v>9</v>
      </c>
      <c r="D62" s="171">
        <v>1995000</v>
      </c>
      <c r="E62" s="171">
        <f t="shared" si="19"/>
        <v>17955000</v>
      </c>
      <c r="F62" s="173"/>
      <c r="G62" s="173"/>
      <c r="H62" s="183"/>
      <c r="I62" s="173"/>
      <c r="J62" s="173"/>
      <c r="K62" s="173"/>
      <c r="L62" s="173"/>
      <c r="M62" s="173"/>
      <c r="N62" s="184"/>
      <c r="O62" s="173">
        <f t="shared" si="20"/>
        <v>17955000</v>
      </c>
      <c r="P62" s="184"/>
      <c r="Q62" s="258"/>
      <c r="R62" s="258"/>
      <c r="S62" s="258"/>
      <c r="T62" s="258">
        <v>332500</v>
      </c>
      <c r="U62" s="258">
        <v>1995000</v>
      </c>
      <c r="V62" s="173">
        <v>1995000</v>
      </c>
      <c r="W62" s="173"/>
      <c r="X62" s="184"/>
      <c r="Y62" s="173">
        <f t="shared" si="15"/>
        <v>4322500</v>
      </c>
      <c r="Z62" s="185">
        <f t="shared" si="17"/>
        <v>13632500</v>
      </c>
      <c r="AA62" s="186"/>
    </row>
    <row r="63" spans="1:27" s="137" customFormat="1" ht="15" customHeight="1" x14ac:dyDescent="0.25">
      <c r="A63" s="168" t="s">
        <v>193</v>
      </c>
      <c r="B63" s="177">
        <v>1</v>
      </c>
      <c r="C63" s="177">
        <v>9</v>
      </c>
      <c r="D63" s="171">
        <v>1995000</v>
      </c>
      <c r="E63" s="171">
        <f t="shared" si="19"/>
        <v>17955000</v>
      </c>
      <c r="F63" s="173"/>
      <c r="G63" s="173"/>
      <c r="H63" s="183"/>
      <c r="I63" s="173"/>
      <c r="J63" s="173"/>
      <c r="K63" s="173"/>
      <c r="L63" s="173"/>
      <c r="M63" s="173"/>
      <c r="N63" s="184"/>
      <c r="O63" s="173">
        <f t="shared" si="20"/>
        <v>17955000</v>
      </c>
      <c r="P63" s="184"/>
      <c r="Q63" s="258"/>
      <c r="R63" s="258"/>
      <c r="S63" s="258"/>
      <c r="T63" s="258">
        <v>332500</v>
      </c>
      <c r="U63" s="258">
        <v>1995000</v>
      </c>
      <c r="V63" s="173">
        <v>1995000</v>
      </c>
      <c r="W63" s="173"/>
      <c r="X63" s="184"/>
      <c r="Y63" s="173">
        <f t="shared" si="15"/>
        <v>4322500</v>
      </c>
      <c r="Z63" s="185">
        <f t="shared" si="17"/>
        <v>13632500</v>
      </c>
      <c r="AA63" s="186"/>
    </row>
    <row r="64" spans="1:27" s="137" customFormat="1" ht="15" customHeight="1" x14ac:dyDescent="0.25">
      <c r="A64" s="168" t="s">
        <v>207</v>
      </c>
      <c r="B64" s="177">
        <v>1</v>
      </c>
      <c r="C64" s="177">
        <v>9</v>
      </c>
      <c r="D64" s="171">
        <v>1995000</v>
      </c>
      <c r="E64" s="171">
        <f t="shared" ref="E64" si="21">+B64*C64*D64</f>
        <v>17955000</v>
      </c>
      <c r="F64" s="173"/>
      <c r="G64" s="173"/>
      <c r="H64" s="183"/>
      <c r="I64" s="173"/>
      <c r="J64" s="173"/>
      <c r="K64" s="173"/>
      <c r="L64" s="173"/>
      <c r="M64" s="173"/>
      <c r="N64" s="184"/>
      <c r="O64" s="173">
        <f t="shared" si="20"/>
        <v>17955000</v>
      </c>
      <c r="P64" s="184"/>
      <c r="Q64" s="258"/>
      <c r="R64" s="258"/>
      <c r="S64" s="258"/>
      <c r="T64" s="258"/>
      <c r="U64" s="258">
        <v>1928500</v>
      </c>
      <c r="V64" s="173">
        <v>1995000</v>
      </c>
      <c r="W64" s="173"/>
      <c r="X64" s="184"/>
      <c r="Y64" s="173">
        <f t="shared" si="15"/>
        <v>3923500</v>
      </c>
      <c r="Z64" s="185">
        <f t="shared" si="17"/>
        <v>14031500</v>
      </c>
      <c r="AA64" s="186"/>
    </row>
    <row r="65" spans="1:27" s="137" customFormat="1" ht="15" customHeight="1" x14ac:dyDescent="0.25">
      <c r="A65" s="168" t="s">
        <v>208</v>
      </c>
      <c r="B65" s="177">
        <v>1</v>
      </c>
      <c r="C65" s="177">
        <v>9</v>
      </c>
      <c r="D65" s="171">
        <v>1995000</v>
      </c>
      <c r="E65" s="171">
        <f t="shared" ref="E65:E69" si="22">+B65*C65*D65</f>
        <v>17955000</v>
      </c>
      <c r="F65" s="173"/>
      <c r="G65" s="173"/>
      <c r="H65" s="183"/>
      <c r="I65" s="173"/>
      <c r="J65" s="173"/>
      <c r="K65" s="173"/>
      <c r="L65" s="173"/>
      <c r="M65" s="173"/>
      <c r="N65" s="184"/>
      <c r="O65" s="173">
        <f t="shared" si="20"/>
        <v>17955000</v>
      </c>
      <c r="P65" s="184"/>
      <c r="Q65" s="258"/>
      <c r="R65" s="258"/>
      <c r="S65" s="258"/>
      <c r="T65" s="258"/>
      <c r="U65" s="258">
        <v>1928500</v>
      </c>
      <c r="V65" s="258">
        <v>1995000</v>
      </c>
      <c r="W65" s="173"/>
      <c r="X65" s="184"/>
      <c r="Y65" s="173">
        <f t="shared" si="15"/>
        <v>3923500</v>
      </c>
      <c r="Z65" s="185">
        <f t="shared" si="17"/>
        <v>14031500</v>
      </c>
      <c r="AA65" s="186"/>
    </row>
    <row r="66" spans="1:27" s="137" customFormat="1" ht="15" customHeight="1" x14ac:dyDescent="0.25">
      <c r="A66" s="168" t="s">
        <v>209</v>
      </c>
      <c r="B66" s="177">
        <v>1</v>
      </c>
      <c r="C66" s="177">
        <v>9</v>
      </c>
      <c r="D66" s="171">
        <v>1995000</v>
      </c>
      <c r="E66" s="171">
        <f t="shared" si="22"/>
        <v>17955000</v>
      </c>
      <c r="F66" s="173"/>
      <c r="G66" s="173"/>
      <c r="H66" s="183"/>
      <c r="I66" s="173"/>
      <c r="J66" s="173"/>
      <c r="K66" s="173"/>
      <c r="L66" s="173"/>
      <c r="M66" s="173"/>
      <c r="N66" s="184"/>
      <c r="O66" s="173">
        <f t="shared" si="20"/>
        <v>17955000</v>
      </c>
      <c r="P66" s="184"/>
      <c r="Q66" s="258"/>
      <c r="R66" s="258"/>
      <c r="S66" s="258"/>
      <c r="T66" s="258"/>
      <c r="U66" s="258">
        <v>1729000</v>
      </c>
      <c r="V66" s="173">
        <v>1995000</v>
      </c>
      <c r="W66" s="173"/>
      <c r="X66" s="184"/>
      <c r="Y66" s="173">
        <f t="shared" si="15"/>
        <v>3724000</v>
      </c>
      <c r="Z66" s="185">
        <f t="shared" si="17"/>
        <v>14231000</v>
      </c>
      <c r="AA66" s="186"/>
    </row>
    <row r="67" spans="1:27" s="137" customFormat="1" ht="15" customHeight="1" x14ac:dyDescent="0.25">
      <c r="A67" s="168" t="s">
        <v>210</v>
      </c>
      <c r="B67" s="177">
        <v>1</v>
      </c>
      <c r="C67" s="177">
        <v>9</v>
      </c>
      <c r="D67" s="171">
        <v>1995000</v>
      </c>
      <c r="E67" s="171">
        <f t="shared" si="22"/>
        <v>17955000</v>
      </c>
      <c r="F67" s="173"/>
      <c r="G67" s="173"/>
      <c r="H67" s="183"/>
      <c r="I67" s="173"/>
      <c r="J67" s="173"/>
      <c r="K67" s="173"/>
      <c r="L67" s="173"/>
      <c r="M67" s="173"/>
      <c r="N67" s="184"/>
      <c r="O67" s="173">
        <f t="shared" si="20"/>
        <v>17955000</v>
      </c>
      <c r="P67" s="184"/>
      <c r="Q67" s="258"/>
      <c r="R67" s="258"/>
      <c r="S67" s="258"/>
      <c r="T67" s="258"/>
      <c r="U67" s="258">
        <v>1928500</v>
      </c>
      <c r="V67" s="173">
        <v>1995000</v>
      </c>
      <c r="W67" s="173"/>
      <c r="X67" s="184"/>
      <c r="Y67" s="173">
        <f t="shared" si="15"/>
        <v>3923500</v>
      </c>
      <c r="Z67" s="185">
        <f t="shared" si="17"/>
        <v>14031500</v>
      </c>
      <c r="AA67" s="186"/>
    </row>
    <row r="68" spans="1:27" s="137" customFormat="1" ht="15" customHeight="1" x14ac:dyDescent="0.25">
      <c r="A68" s="168" t="s">
        <v>211</v>
      </c>
      <c r="B68" s="177">
        <v>1</v>
      </c>
      <c r="C68" s="177">
        <v>9</v>
      </c>
      <c r="D68" s="171">
        <v>1995000</v>
      </c>
      <c r="E68" s="171">
        <f t="shared" si="22"/>
        <v>17955000</v>
      </c>
      <c r="F68" s="173"/>
      <c r="G68" s="173"/>
      <c r="H68" s="183"/>
      <c r="I68" s="173"/>
      <c r="J68" s="173"/>
      <c r="K68" s="173"/>
      <c r="L68" s="173"/>
      <c r="M68" s="173"/>
      <c r="N68" s="184"/>
      <c r="O68" s="173">
        <f t="shared" si="20"/>
        <v>17955000</v>
      </c>
      <c r="P68" s="184"/>
      <c r="Q68" s="258"/>
      <c r="R68" s="258"/>
      <c r="S68" s="258"/>
      <c r="T68" s="258"/>
      <c r="U68" s="258">
        <v>1263500</v>
      </c>
      <c r="V68" s="173">
        <v>1995000</v>
      </c>
      <c r="W68" s="173"/>
      <c r="X68" s="184"/>
      <c r="Y68" s="173">
        <f t="shared" si="15"/>
        <v>3258500</v>
      </c>
      <c r="Z68" s="185">
        <f t="shared" si="17"/>
        <v>14696500</v>
      </c>
      <c r="AA68" s="186"/>
    </row>
    <row r="69" spans="1:27" s="137" customFormat="1" ht="15" customHeight="1" x14ac:dyDescent="0.25">
      <c r="A69" s="168" t="s">
        <v>212</v>
      </c>
      <c r="B69" s="177">
        <v>1</v>
      </c>
      <c r="C69" s="177">
        <v>9</v>
      </c>
      <c r="D69" s="171">
        <v>1995000</v>
      </c>
      <c r="E69" s="171">
        <f t="shared" si="22"/>
        <v>17955000</v>
      </c>
      <c r="F69" s="173"/>
      <c r="G69" s="173"/>
      <c r="H69" s="183"/>
      <c r="I69" s="173"/>
      <c r="J69" s="173"/>
      <c r="K69" s="173"/>
      <c r="L69" s="173"/>
      <c r="M69" s="173"/>
      <c r="N69" s="184"/>
      <c r="O69" s="173">
        <f t="shared" si="20"/>
        <v>17955000</v>
      </c>
      <c r="P69" s="184"/>
      <c r="Q69" s="258"/>
      <c r="R69" s="258"/>
      <c r="S69" s="258"/>
      <c r="T69" s="258"/>
      <c r="U69" s="258">
        <v>1330000</v>
      </c>
      <c r="V69" s="173">
        <v>1995000</v>
      </c>
      <c r="W69" s="173"/>
      <c r="X69" s="184"/>
      <c r="Y69" s="173">
        <f t="shared" si="15"/>
        <v>3325000</v>
      </c>
      <c r="Z69" s="185">
        <f t="shared" si="17"/>
        <v>14630000</v>
      </c>
      <c r="AA69" s="186"/>
    </row>
    <row r="70" spans="1:27" s="137" customFormat="1" ht="15" customHeight="1" x14ac:dyDescent="0.25">
      <c r="A70" s="168" t="s">
        <v>219</v>
      </c>
      <c r="B70" s="177">
        <v>1</v>
      </c>
      <c r="C70" s="177">
        <v>9</v>
      </c>
      <c r="D70" s="171">
        <v>1995000</v>
      </c>
      <c r="E70" s="171">
        <f t="shared" ref="E70" si="23">+B70*C70*D70</f>
        <v>17955000</v>
      </c>
      <c r="F70" s="173"/>
      <c r="G70" s="173"/>
      <c r="H70" s="183"/>
      <c r="I70" s="173"/>
      <c r="J70" s="173"/>
      <c r="K70" s="173"/>
      <c r="L70" s="173"/>
      <c r="M70" s="173"/>
      <c r="N70" s="184"/>
      <c r="O70" s="173">
        <f>E70+H70+K70</f>
        <v>17955000</v>
      </c>
      <c r="P70" s="184"/>
      <c r="Q70" s="258"/>
      <c r="R70" s="258"/>
      <c r="S70" s="258"/>
      <c r="T70" s="258"/>
      <c r="U70" s="258">
        <v>1263500</v>
      </c>
      <c r="V70" s="173">
        <v>1995000</v>
      </c>
      <c r="W70" s="173"/>
      <c r="X70" s="184"/>
      <c r="Y70" s="173">
        <f t="shared" si="15"/>
        <v>3258500</v>
      </c>
      <c r="Z70" s="185">
        <f t="shared" si="17"/>
        <v>14696500</v>
      </c>
      <c r="AA70" s="186"/>
    </row>
    <row r="71" spans="1:27" s="137" customFormat="1" ht="15" customHeight="1" x14ac:dyDescent="0.25">
      <c r="A71" s="168" t="s">
        <v>217</v>
      </c>
      <c r="B71" s="177">
        <v>1</v>
      </c>
      <c r="C71" s="177">
        <v>7.5</v>
      </c>
      <c r="D71" s="171">
        <v>1995000</v>
      </c>
      <c r="E71" s="171">
        <f t="shared" ref="E71:E72" si="24">+B71*C71*D71</f>
        <v>14962500</v>
      </c>
      <c r="F71" s="173"/>
      <c r="G71" s="173"/>
      <c r="H71" s="183"/>
      <c r="I71" s="173"/>
      <c r="J71" s="173"/>
      <c r="K71" s="173"/>
      <c r="L71" s="173"/>
      <c r="M71" s="173"/>
      <c r="N71" s="184"/>
      <c r="O71" s="173">
        <f t="shared" si="20"/>
        <v>14962500</v>
      </c>
      <c r="P71" s="184"/>
      <c r="Q71" s="258"/>
      <c r="R71" s="258"/>
      <c r="S71" s="258"/>
      <c r="T71" s="258"/>
      <c r="U71" s="258">
        <v>266000</v>
      </c>
      <c r="V71" s="173">
        <v>1995000</v>
      </c>
      <c r="W71" s="173"/>
      <c r="X71" s="184"/>
      <c r="Y71" s="173">
        <f t="shared" si="15"/>
        <v>2261000</v>
      </c>
      <c r="Z71" s="185">
        <f t="shared" si="17"/>
        <v>12701500</v>
      </c>
      <c r="AA71" s="186"/>
    </row>
    <row r="72" spans="1:27" s="137" customFormat="1" ht="15" customHeight="1" x14ac:dyDescent="0.25">
      <c r="A72" s="168" t="s">
        <v>218</v>
      </c>
      <c r="B72" s="177">
        <v>1</v>
      </c>
      <c r="C72" s="177">
        <v>7</v>
      </c>
      <c r="D72" s="171">
        <v>1995000</v>
      </c>
      <c r="E72" s="171">
        <f t="shared" si="24"/>
        <v>13965000</v>
      </c>
      <c r="F72" s="173"/>
      <c r="G72" s="173"/>
      <c r="H72" s="183"/>
      <c r="I72" s="173"/>
      <c r="J72" s="173"/>
      <c r="K72" s="173"/>
      <c r="L72" s="173"/>
      <c r="M72" s="173"/>
      <c r="N72" s="184"/>
      <c r="O72" s="173">
        <f t="shared" si="20"/>
        <v>13965000</v>
      </c>
      <c r="P72" s="184"/>
      <c r="Q72" s="258"/>
      <c r="R72" s="258"/>
      <c r="S72" s="258"/>
      <c r="T72" s="258"/>
      <c r="U72" s="258">
        <v>266000</v>
      </c>
      <c r="V72" s="173">
        <v>1995000</v>
      </c>
      <c r="W72" s="173"/>
      <c r="X72" s="184"/>
      <c r="Y72" s="173">
        <f t="shared" si="15"/>
        <v>2261000</v>
      </c>
      <c r="Z72" s="185">
        <f t="shared" si="17"/>
        <v>11704000</v>
      </c>
      <c r="AA72" s="186"/>
    </row>
    <row r="73" spans="1:27" s="137" customFormat="1" ht="15" customHeight="1" x14ac:dyDescent="0.25">
      <c r="A73" s="168" t="s">
        <v>231</v>
      </c>
      <c r="B73" s="177">
        <v>1</v>
      </c>
      <c r="C73" s="177">
        <v>9</v>
      </c>
      <c r="D73" s="171">
        <v>1995000</v>
      </c>
      <c r="E73" s="171">
        <f t="shared" ref="E73" si="25">+B73*C73*D73</f>
        <v>17955000</v>
      </c>
      <c r="F73" s="173"/>
      <c r="G73" s="173"/>
      <c r="H73" s="183"/>
      <c r="I73" s="173"/>
      <c r="J73" s="173"/>
      <c r="K73" s="173"/>
      <c r="L73" s="173"/>
      <c r="M73" s="173"/>
      <c r="N73" s="184"/>
      <c r="O73" s="173">
        <f t="shared" si="20"/>
        <v>17955000</v>
      </c>
      <c r="P73" s="184"/>
      <c r="Q73" s="258"/>
      <c r="R73" s="258"/>
      <c r="S73" s="258"/>
      <c r="T73" s="258"/>
      <c r="U73" s="258"/>
      <c r="V73" s="173">
        <v>1928500</v>
      </c>
      <c r="W73" s="173"/>
      <c r="X73" s="184"/>
      <c r="Y73" s="173">
        <f t="shared" si="15"/>
        <v>1928500</v>
      </c>
      <c r="Z73" s="185">
        <f t="shared" si="17"/>
        <v>16026500</v>
      </c>
      <c r="AA73" s="186"/>
    </row>
    <row r="74" spans="1:27" s="137" customFormat="1" ht="15" customHeight="1" x14ac:dyDescent="0.25">
      <c r="A74" s="168"/>
      <c r="B74" s="177"/>
      <c r="C74" s="177"/>
      <c r="D74" s="171"/>
      <c r="E74" s="183"/>
      <c r="F74" s="173"/>
      <c r="G74" s="173"/>
      <c r="H74" s="183"/>
      <c r="I74" s="173"/>
      <c r="J74" s="173"/>
      <c r="K74" s="173"/>
      <c r="L74" s="173"/>
      <c r="M74" s="173"/>
      <c r="N74" s="184"/>
      <c r="O74" s="184"/>
      <c r="P74" s="184"/>
      <c r="Q74" s="258"/>
      <c r="R74" s="258"/>
      <c r="S74" s="258"/>
      <c r="T74" s="263"/>
      <c r="U74" s="263"/>
      <c r="V74" s="173"/>
      <c r="W74" s="173"/>
      <c r="X74" s="184"/>
      <c r="Y74" s="184"/>
      <c r="Z74" s="187"/>
      <c r="AA74" s="186"/>
    </row>
    <row r="75" spans="1:27" ht="15" customHeight="1" x14ac:dyDescent="0.25">
      <c r="A75" s="161" t="s">
        <v>20</v>
      </c>
      <c r="B75" s="162">
        <v>1</v>
      </c>
      <c r="C75" s="162">
        <v>12</v>
      </c>
      <c r="D75" s="163">
        <v>3600000</v>
      </c>
      <c r="E75" s="164">
        <f>+B75*C75*D75</f>
        <v>43200000</v>
      </c>
      <c r="F75" s="165">
        <v>0</v>
      </c>
      <c r="G75" s="165">
        <v>0</v>
      </c>
      <c r="H75" s="165">
        <v>0</v>
      </c>
      <c r="I75" s="165">
        <v>0</v>
      </c>
      <c r="J75" s="165">
        <v>0</v>
      </c>
      <c r="K75" s="166">
        <f>+K76</f>
        <v>0</v>
      </c>
      <c r="L75" s="165">
        <v>0</v>
      </c>
      <c r="M75" s="165">
        <v>0</v>
      </c>
      <c r="N75" s="166">
        <f>+E75</f>
        <v>43200000</v>
      </c>
      <c r="O75" s="166">
        <f>+O76+O77</f>
        <v>43200000</v>
      </c>
      <c r="P75" s="166">
        <f>N75-O75</f>
        <v>0</v>
      </c>
      <c r="Q75" s="262">
        <f>+Q76+Q77</f>
        <v>2640000</v>
      </c>
      <c r="R75" s="262">
        <f t="shared" ref="R75:X75" si="26">+R76+R77</f>
        <v>3600000</v>
      </c>
      <c r="S75" s="262">
        <f t="shared" si="26"/>
        <v>3600000</v>
      </c>
      <c r="T75" s="262">
        <f t="shared" si="26"/>
        <v>3600000</v>
      </c>
      <c r="U75" s="262">
        <f t="shared" si="26"/>
        <v>3120000</v>
      </c>
      <c r="V75" s="166">
        <f t="shared" si="26"/>
        <v>3600000</v>
      </c>
      <c r="W75" s="166">
        <f t="shared" si="26"/>
        <v>0</v>
      </c>
      <c r="X75" s="166">
        <f t="shared" si="26"/>
        <v>0</v>
      </c>
      <c r="Y75" s="166">
        <f>SUM(Q75:X75)</f>
        <v>20160000</v>
      </c>
      <c r="Z75" s="167">
        <f>+Z76+Z77</f>
        <v>23040000</v>
      </c>
      <c r="AA75" s="155"/>
    </row>
    <row r="76" spans="1:27" ht="15" customHeight="1" x14ac:dyDescent="0.25">
      <c r="A76" s="168" t="s">
        <v>191</v>
      </c>
      <c r="B76" s="180">
        <v>1</v>
      </c>
      <c r="C76" s="180">
        <v>4.5</v>
      </c>
      <c r="D76" s="181">
        <v>3600000</v>
      </c>
      <c r="E76" s="171">
        <f>+B76*C76*D76</f>
        <v>16200000</v>
      </c>
      <c r="F76" s="172"/>
      <c r="G76" s="172"/>
      <c r="H76" s="172"/>
      <c r="I76" s="172"/>
      <c r="J76" s="172"/>
      <c r="K76" s="172">
        <v>0</v>
      </c>
      <c r="L76" s="172"/>
      <c r="M76" s="172"/>
      <c r="N76" s="172"/>
      <c r="O76" s="172">
        <f t="shared" ref="O76:O77" si="27">E76+H76+K76</f>
        <v>16200000</v>
      </c>
      <c r="P76" s="172"/>
      <c r="Q76" s="256">
        <v>2640000</v>
      </c>
      <c r="R76" s="256">
        <v>3600000</v>
      </c>
      <c r="S76" s="256">
        <v>3600000</v>
      </c>
      <c r="T76" s="256">
        <f>960000+2640000</f>
        <v>3600000</v>
      </c>
      <c r="U76" s="256">
        <v>2760000</v>
      </c>
      <c r="V76" s="172">
        <v>0</v>
      </c>
      <c r="W76" s="172">
        <v>0</v>
      </c>
      <c r="X76" s="172">
        <v>0</v>
      </c>
      <c r="Y76" s="172">
        <f>SUM(Q76:X76)</f>
        <v>16200000</v>
      </c>
      <c r="Z76" s="174">
        <f>O76-Y76</f>
        <v>0</v>
      </c>
      <c r="AA76" s="155"/>
    </row>
    <row r="77" spans="1:27" ht="15" customHeight="1" x14ac:dyDescent="0.25">
      <c r="A77" s="168" t="s">
        <v>215</v>
      </c>
      <c r="B77" s="180"/>
      <c r="C77" s="180">
        <v>7.5</v>
      </c>
      <c r="D77" s="181">
        <v>3600000</v>
      </c>
      <c r="E77" s="171">
        <f>C77*D77</f>
        <v>27000000</v>
      </c>
      <c r="F77" s="172"/>
      <c r="G77" s="172"/>
      <c r="H77" s="172"/>
      <c r="I77" s="172"/>
      <c r="J77" s="172"/>
      <c r="K77" s="172"/>
      <c r="L77" s="172"/>
      <c r="M77" s="172"/>
      <c r="N77" s="172"/>
      <c r="O77" s="172">
        <f t="shared" si="27"/>
        <v>27000000</v>
      </c>
      <c r="P77" s="172"/>
      <c r="Q77" s="256"/>
      <c r="R77" s="256"/>
      <c r="S77" s="256"/>
      <c r="T77" s="256"/>
      <c r="U77" s="256">
        <v>360000</v>
      </c>
      <c r="V77" s="256">
        <v>3600000</v>
      </c>
      <c r="W77" s="172"/>
      <c r="X77" s="172"/>
      <c r="Y77" s="172">
        <f>SUM(Q77:X77)</f>
        <v>3960000</v>
      </c>
      <c r="Z77" s="174">
        <f>O77-Y77</f>
        <v>23040000</v>
      </c>
      <c r="AA77" s="155"/>
    </row>
    <row r="78" spans="1:27" ht="15" customHeight="1" x14ac:dyDescent="0.25">
      <c r="A78" s="168"/>
      <c r="B78" s="169"/>
      <c r="C78" s="169"/>
      <c r="D78" s="170"/>
      <c r="E78" s="171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256"/>
      <c r="R78" s="256"/>
      <c r="S78" s="256"/>
      <c r="T78" s="256"/>
      <c r="U78" s="256"/>
      <c r="V78" s="172"/>
      <c r="W78" s="172"/>
      <c r="X78" s="172"/>
      <c r="Y78" s="172"/>
      <c r="Z78" s="178"/>
      <c r="AA78" s="155"/>
    </row>
    <row r="79" spans="1:27" ht="15" customHeight="1" x14ac:dyDescent="0.25">
      <c r="A79" s="161" t="s">
        <v>125</v>
      </c>
      <c r="B79" s="162">
        <v>1</v>
      </c>
      <c r="C79" s="162">
        <v>12</v>
      </c>
      <c r="D79" s="163">
        <v>4110000</v>
      </c>
      <c r="E79" s="164">
        <f>+B79*C79*D79</f>
        <v>49320000</v>
      </c>
      <c r="F79" s="165">
        <v>0</v>
      </c>
      <c r="G79" s="165">
        <v>0</v>
      </c>
      <c r="H79" s="165">
        <v>0</v>
      </c>
      <c r="I79" s="165">
        <v>0</v>
      </c>
      <c r="J79" s="165">
        <v>0</v>
      </c>
      <c r="K79" s="165">
        <f>+K80</f>
        <v>0</v>
      </c>
      <c r="L79" s="165">
        <v>0</v>
      </c>
      <c r="M79" s="165">
        <v>0</v>
      </c>
      <c r="N79" s="166">
        <f>+E79</f>
        <v>49320000</v>
      </c>
      <c r="O79" s="166">
        <f>+O80+O81</f>
        <v>49320000</v>
      </c>
      <c r="P79" s="166">
        <f>N79-O79</f>
        <v>0</v>
      </c>
      <c r="Q79" s="262">
        <f>+Q80+Q81</f>
        <v>3014000</v>
      </c>
      <c r="R79" s="262">
        <f t="shared" ref="R79:X79" si="28">+R80+R81</f>
        <v>4110000</v>
      </c>
      <c r="S79" s="262">
        <f t="shared" si="28"/>
        <v>4110000</v>
      </c>
      <c r="T79" s="262">
        <f t="shared" si="28"/>
        <v>4110000</v>
      </c>
      <c r="U79" s="262">
        <f t="shared" si="28"/>
        <v>3562000</v>
      </c>
      <c r="V79" s="166">
        <f t="shared" si="28"/>
        <v>4110000</v>
      </c>
      <c r="W79" s="166">
        <f t="shared" si="28"/>
        <v>0</v>
      </c>
      <c r="X79" s="166">
        <f t="shared" si="28"/>
        <v>0</v>
      </c>
      <c r="Y79" s="166">
        <f t="shared" ref="Y79:Y84" si="29">SUM(Q79:X79)</f>
        <v>23016000</v>
      </c>
      <c r="Z79" s="167">
        <f>+Z80+Z81</f>
        <v>26304000</v>
      </c>
      <c r="AA79" s="155"/>
    </row>
    <row r="80" spans="1:27" ht="15" customHeight="1" x14ac:dyDescent="0.25">
      <c r="A80" s="168" t="s">
        <v>192</v>
      </c>
      <c r="B80" s="169">
        <v>1</v>
      </c>
      <c r="C80" s="169">
        <v>4.5</v>
      </c>
      <c r="D80" s="170">
        <v>4110000</v>
      </c>
      <c r="E80" s="172">
        <f>+B80*C80*D80</f>
        <v>18495000</v>
      </c>
      <c r="F80" s="172"/>
      <c r="G80" s="172"/>
      <c r="H80" s="172"/>
      <c r="I80" s="172"/>
      <c r="J80" s="172"/>
      <c r="K80" s="172"/>
      <c r="L80" s="172"/>
      <c r="M80" s="172"/>
      <c r="N80" s="172"/>
      <c r="O80" s="172">
        <f t="shared" ref="O80:O81" si="30">E80+H80+K80</f>
        <v>18495000</v>
      </c>
      <c r="P80" s="172"/>
      <c r="Q80" s="256">
        <v>3014000</v>
      </c>
      <c r="R80" s="256">
        <v>4110000</v>
      </c>
      <c r="S80" s="256">
        <v>4110000</v>
      </c>
      <c r="T80" s="256">
        <f>1096000+3014000</f>
        <v>4110000</v>
      </c>
      <c r="U80" s="256">
        <v>3151000</v>
      </c>
      <c r="V80" s="172">
        <v>0</v>
      </c>
      <c r="W80" s="172">
        <v>0</v>
      </c>
      <c r="X80" s="172">
        <v>0</v>
      </c>
      <c r="Y80" s="172">
        <f t="shared" si="29"/>
        <v>18495000</v>
      </c>
      <c r="Z80" s="174">
        <f>O80-Y80</f>
        <v>0</v>
      </c>
      <c r="AA80" s="155"/>
    </row>
    <row r="81" spans="1:28" ht="15" customHeight="1" x14ac:dyDescent="0.25">
      <c r="A81" s="168" t="s">
        <v>216</v>
      </c>
      <c r="B81" s="169"/>
      <c r="C81" s="169">
        <v>7.5</v>
      </c>
      <c r="D81" s="170">
        <v>4110000</v>
      </c>
      <c r="E81" s="172">
        <f>C81*D81</f>
        <v>30825000</v>
      </c>
      <c r="F81" s="172"/>
      <c r="G81" s="172"/>
      <c r="H81" s="172"/>
      <c r="I81" s="172"/>
      <c r="J81" s="172"/>
      <c r="K81" s="172"/>
      <c r="L81" s="172"/>
      <c r="M81" s="172"/>
      <c r="N81" s="172"/>
      <c r="O81" s="172">
        <f t="shared" si="30"/>
        <v>30825000</v>
      </c>
      <c r="P81" s="172"/>
      <c r="Q81" s="256"/>
      <c r="R81" s="256"/>
      <c r="S81" s="256"/>
      <c r="T81" s="256"/>
      <c r="U81" s="256">
        <v>411000</v>
      </c>
      <c r="V81" s="256">
        <v>4110000</v>
      </c>
      <c r="W81" s="172"/>
      <c r="X81" s="172"/>
      <c r="Y81" s="172">
        <f t="shared" si="29"/>
        <v>4521000</v>
      </c>
      <c r="Z81" s="174">
        <f>O81-Y81</f>
        <v>26304000</v>
      </c>
      <c r="AA81" s="155"/>
    </row>
    <row r="82" spans="1:28" ht="15" customHeight="1" x14ac:dyDescent="0.25">
      <c r="A82" s="161" t="s">
        <v>125</v>
      </c>
      <c r="B82" s="162">
        <v>2</v>
      </c>
      <c r="C82" s="162">
        <v>9</v>
      </c>
      <c r="D82" s="163">
        <v>4110000</v>
      </c>
      <c r="E82" s="166">
        <f>+B82*C82*D82</f>
        <v>73980000</v>
      </c>
      <c r="F82" s="165"/>
      <c r="G82" s="165"/>
      <c r="H82" s="165"/>
      <c r="I82" s="165"/>
      <c r="J82" s="165"/>
      <c r="K82" s="165"/>
      <c r="L82" s="165"/>
      <c r="M82" s="165"/>
      <c r="N82" s="166">
        <f>+E82</f>
        <v>73980000</v>
      </c>
      <c r="O82" s="166">
        <f>SUM(O83:O84)</f>
        <v>73980000</v>
      </c>
      <c r="P82" s="166">
        <f>N82-O82</f>
        <v>0</v>
      </c>
      <c r="Q82" s="262">
        <f>+Q83+Q84</f>
        <v>0</v>
      </c>
      <c r="R82" s="262">
        <f t="shared" ref="R82:X82" si="31">+R83+R84</f>
        <v>0</v>
      </c>
      <c r="S82" s="262">
        <f t="shared" si="31"/>
        <v>0</v>
      </c>
      <c r="T82" s="262">
        <f t="shared" si="31"/>
        <v>2329000</v>
      </c>
      <c r="U82" s="262">
        <f t="shared" si="31"/>
        <v>8083000</v>
      </c>
      <c r="V82" s="166">
        <f t="shared" si="31"/>
        <v>8220000</v>
      </c>
      <c r="W82" s="166">
        <f t="shared" si="31"/>
        <v>0</v>
      </c>
      <c r="X82" s="166">
        <f t="shared" si="31"/>
        <v>0</v>
      </c>
      <c r="Y82" s="166">
        <f t="shared" si="29"/>
        <v>18632000</v>
      </c>
      <c r="Z82" s="167">
        <f>SUM(Z83:Z84)</f>
        <v>55348000</v>
      </c>
      <c r="AA82" s="155"/>
    </row>
    <row r="83" spans="1:28" ht="15" customHeight="1" x14ac:dyDescent="0.25">
      <c r="A83" s="179" t="s">
        <v>178</v>
      </c>
      <c r="B83" s="169">
        <v>1</v>
      </c>
      <c r="C83" s="169">
        <v>9</v>
      </c>
      <c r="D83" s="170">
        <v>4110000</v>
      </c>
      <c r="E83" s="172">
        <f>+B83*C83*D83</f>
        <v>36990000</v>
      </c>
      <c r="F83" s="172"/>
      <c r="G83" s="172"/>
      <c r="H83" s="172"/>
      <c r="I83" s="172"/>
      <c r="J83" s="172"/>
      <c r="K83" s="172"/>
      <c r="L83" s="172"/>
      <c r="M83" s="172"/>
      <c r="N83" s="172"/>
      <c r="O83" s="182">
        <f t="shared" ref="O83:O84" si="32">E83+H83</f>
        <v>36990000</v>
      </c>
      <c r="P83" s="172"/>
      <c r="Q83" s="256"/>
      <c r="R83" s="256"/>
      <c r="S83" s="256"/>
      <c r="T83" s="256">
        <v>2329000</v>
      </c>
      <c r="U83" s="256">
        <v>4110000</v>
      </c>
      <c r="V83" s="172">
        <v>4110000</v>
      </c>
      <c r="W83" s="172"/>
      <c r="X83" s="172"/>
      <c r="Y83" s="172">
        <f t="shared" si="29"/>
        <v>10549000</v>
      </c>
      <c r="Z83" s="174">
        <f>O83-Y83</f>
        <v>26441000</v>
      </c>
      <c r="AA83" s="155"/>
    </row>
    <row r="84" spans="1:28" ht="15" customHeight="1" x14ac:dyDescent="0.25">
      <c r="A84" s="168" t="s">
        <v>225</v>
      </c>
      <c r="B84" s="169">
        <v>1</v>
      </c>
      <c r="C84" s="169">
        <v>9</v>
      </c>
      <c r="D84" s="170">
        <v>4110000</v>
      </c>
      <c r="E84" s="172">
        <f>+B84*C84*D84</f>
        <v>36990000</v>
      </c>
      <c r="F84" s="172"/>
      <c r="G84" s="172"/>
      <c r="H84" s="172"/>
      <c r="I84" s="172"/>
      <c r="J84" s="172"/>
      <c r="K84" s="172"/>
      <c r="L84" s="172"/>
      <c r="M84" s="172"/>
      <c r="N84" s="172"/>
      <c r="O84" s="182">
        <f t="shared" si="32"/>
        <v>36990000</v>
      </c>
      <c r="P84" s="172"/>
      <c r="Q84" s="256"/>
      <c r="R84" s="256"/>
      <c r="S84" s="256"/>
      <c r="T84" s="256"/>
      <c r="U84" s="256">
        <v>3973000</v>
      </c>
      <c r="V84" s="172">
        <v>4110000</v>
      </c>
      <c r="W84" s="172"/>
      <c r="X84" s="172"/>
      <c r="Y84" s="172">
        <f t="shared" si="29"/>
        <v>8083000</v>
      </c>
      <c r="Z84" s="174">
        <f>O84-Y84</f>
        <v>28907000</v>
      </c>
      <c r="AA84" s="155"/>
    </row>
    <row r="85" spans="1:28" ht="15" customHeight="1" x14ac:dyDescent="0.25">
      <c r="A85" s="168"/>
      <c r="B85" s="169"/>
      <c r="C85" s="169"/>
      <c r="D85" s="170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82"/>
      <c r="P85" s="172"/>
      <c r="Q85" s="256"/>
      <c r="R85" s="256"/>
      <c r="S85" s="256"/>
      <c r="T85" s="256"/>
      <c r="U85" s="256"/>
      <c r="V85" s="172"/>
      <c r="W85" s="172"/>
      <c r="X85" s="172"/>
      <c r="Y85" s="172"/>
      <c r="Z85" s="174"/>
      <c r="AA85" s="155"/>
    </row>
    <row r="86" spans="1:28" ht="15" customHeight="1" x14ac:dyDescent="0.25">
      <c r="A86" s="161" t="s">
        <v>126</v>
      </c>
      <c r="B86" s="162">
        <v>4</v>
      </c>
      <c r="C86" s="162">
        <v>9</v>
      </c>
      <c r="D86" s="163">
        <v>1995000</v>
      </c>
      <c r="E86" s="164">
        <v>39900000</v>
      </c>
      <c r="F86" s="165">
        <v>0</v>
      </c>
      <c r="G86" s="165">
        <v>0</v>
      </c>
      <c r="H86" s="166">
        <f>+H91</f>
        <v>0</v>
      </c>
      <c r="I86" s="165">
        <v>0</v>
      </c>
      <c r="J86" s="165">
        <v>0</v>
      </c>
      <c r="K86" s="165">
        <f>+K91</f>
        <v>0</v>
      </c>
      <c r="L86" s="165">
        <v>0</v>
      </c>
      <c r="M86" s="165">
        <v>0</v>
      </c>
      <c r="N86" s="166">
        <f>+E86</f>
        <v>39900000</v>
      </c>
      <c r="O86" s="166">
        <f>SUM(O87:O90)</f>
        <v>39900000</v>
      </c>
      <c r="P86" s="166">
        <f>N86-O86</f>
        <v>0</v>
      </c>
      <c r="Q86" s="262">
        <f>+Q87+Q88+Q89+Q90</f>
        <v>0</v>
      </c>
      <c r="R86" s="262">
        <f t="shared" ref="R86:X86" si="33">+R87+R88+R89+R90</f>
        <v>0</v>
      </c>
      <c r="S86" s="262">
        <f t="shared" si="33"/>
        <v>0</v>
      </c>
      <c r="T86" s="262">
        <f t="shared" si="33"/>
        <v>1452360.0000000002</v>
      </c>
      <c r="U86" s="262">
        <f t="shared" si="33"/>
        <v>3500560</v>
      </c>
      <c r="V86" s="166">
        <f>+V87+V88+V89+V90</f>
        <v>4468800</v>
      </c>
      <c r="W86" s="166">
        <f t="shared" si="33"/>
        <v>0</v>
      </c>
      <c r="X86" s="166">
        <f t="shared" si="33"/>
        <v>0</v>
      </c>
      <c r="Y86" s="166">
        <f>SUM(Q86:X86)</f>
        <v>9421720</v>
      </c>
      <c r="Z86" s="167">
        <f>SUM(Z87:Z90)</f>
        <v>30478280</v>
      </c>
      <c r="AA86" s="155"/>
    </row>
    <row r="87" spans="1:28" s="137" customFormat="1" ht="15" customHeight="1" x14ac:dyDescent="0.25">
      <c r="A87" s="188" t="s">
        <v>179</v>
      </c>
      <c r="B87" s="180">
        <v>1</v>
      </c>
      <c r="C87" s="180">
        <v>9</v>
      </c>
      <c r="D87" s="181">
        <v>1995000</v>
      </c>
      <c r="E87" s="181">
        <v>9975000</v>
      </c>
      <c r="F87" s="182"/>
      <c r="G87" s="182"/>
      <c r="H87" s="189"/>
      <c r="I87" s="182"/>
      <c r="J87" s="182"/>
      <c r="K87" s="182"/>
      <c r="L87" s="182"/>
      <c r="M87" s="182"/>
      <c r="N87" s="189"/>
      <c r="O87" s="172">
        <f t="shared" ref="O87:O90" si="34">E87+H87+K87</f>
        <v>9975000</v>
      </c>
      <c r="P87" s="189"/>
      <c r="Q87" s="257"/>
      <c r="R87" s="257"/>
      <c r="S87" s="257"/>
      <c r="T87" s="257">
        <f>(1263500*56%)</f>
        <v>707560.00000000012</v>
      </c>
      <c r="U87" s="257">
        <f>(1995000*56%)</f>
        <v>1117200</v>
      </c>
      <c r="V87" s="257">
        <f>(1995000*56%)</f>
        <v>1117200</v>
      </c>
      <c r="W87" s="182"/>
      <c r="X87" s="189"/>
      <c r="Y87" s="172">
        <f>SUM(Q87:X87)</f>
        <v>2941960</v>
      </c>
      <c r="Z87" s="174">
        <f>O87-Y87</f>
        <v>7033040</v>
      </c>
      <c r="AA87" s="186"/>
    </row>
    <row r="88" spans="1:28" s="137" customFormat="1" ht="15" customHeight="1" x14ac:dyDescent="0.25">
      <c r="A88" s="188" t="s">
        <v>180</v>
      </c>
      <c r="B88" s="180">
        <v>1</v>
      </c>
      <c r="C88" s="180">
        <v>9</v>
      </c>
      <c r="D88" s="181">
        <v>1995000</v>
      </c>
      <c r="E88" s="181">
        <v>9975000</v>
      </c>
      <c r="F88" s="182"/>
      <c r="G88" s="182"/>
      <c r="H88" s="189"/>
      <c r="I88" s="182"/>
      <c r="J88" s="182"/>
      <c r="K88" s="182"/>
      <c r="L88" s="182"/>
      <c r="M88" s="182"/>
      <c r="N88" s="189"/>
      <c r="O88" s="172">
        <f t="shared" si="34"/>
        <v>9975000</v>
      </c>
      <c r="P88" s="189"/>
      <c r="Q88" s="257"/>
      <c r="R88" s="257"/>
      <c r="S88" s="257"/>
      <c r="T88" s="257">
        <f>(731500*56%)</f>
        <v>409640.00000000006</v>
      </c>
      <c r="U88" s="257">
        <f t="shared" ref="U88:V90" si="35">(1995000*56%)</f>
        <v>1117200</v>
      </c>
      <c r="V88" s="257">
        <f t="shared" si="35"/>
        <v>1117200</v>
      </c>
      <c r="W88" s="182"/>
      <c r="X88" s="189"/>
      <c r="Y88" s="172">
        <f>SUM(Q88:X88)</f>
        <v>2644040</v>
      </c>
      <c r="Z88" s="174">
        <f>O88-Y88</f>
        <v>7330960</v>
      </c>
      <c r="AA88" s="186"/>
    </row>
    <row r="89" spans="1:28" s="137" customFormat="1" ht="15" customHeight="1" x14ac:dyDescent="0.25">
      <c r="A89" s="188" t="s">
        <v>181</v>
      </c>
      <c r="B89" s="180">
        <v>1</v>
      </c>
      <c r="C89" s="180">
        <v>9</v>
      </c>
      <c r="D89" s="181">
        <v>1995000</v>
      </c>
      <c r="E89" s="181">
        <v>9975000</v>
      </c>
      <c r="F89" s="182"/>
      <c r="G89" s="182"/>
      <c r="H89" s="190"/>
      <c r="I89" s="182"/>
      <c r="J89" s="182"/>
      <c r="K89" s="182"/>
      <c r="L89" s="182"/>
      <c r="M89" s="182"/>
      <c r="N89" s="189"/>
      <c r="O89" s="172">
        <f t="shared" si="34"/>
        <v>9975000</v>
      </c>
      <c r="P89" s="189"/>
      <c r="Q89" s="257"/>
      <c r="R89" s="257"/>
      <c r="S89" s="257"/>
      <c r="T89" s="257">
        <f>(598500*56%)</f>
        <v>335160.00000000006</v>
      </c>
      <c r="U89" s="257">
        <f t="shared" si="35"/>
        <v>1117200</v>
      </c>
      <c r="V89" s="257">
        <f t="shared" si="35"/>
        <v>1117200</v>
      </c>
      <c r="W89" s="182"/>
      <c r="X89" s="189"/>
      <c r="Y89" s="172">
        <f>SUM(Q89:X89)</f>
        <v>2569560</v>
      </c>
      <c r="Z89" s="174">
        <f>O89-Y89</f>
        <v>7405440</v>
      </c>
      <c r="AA89" s="186"/>
    </row>
    <row r="90" spans="1:28" s="137" customFormat="1" ht="15" customHeight="1" x14ac:dyDescent="0.25">
      <c r="A90" s="191" t="s">
        <v>220</v>
      </c>
      <c r="B90" s="180">
        <v>1</v>
      </c>
      <c r="C90" s="180">
        <v>9</v>
      </c>
      <c r="D90" s="181">
        <v>1995000</v>
      </c>
      <c r="E90" s="181">
        <v>9975000</v>
      </c>
      <c r="F90" s="182"/>
      <c r="G90" s="182"/>
      <c r="H90" s="189"/>
      <c r="I90" s="182"/>
      <c r="J90" s="182"/>
      <c r="K90" s="182"/>
      <c r="L90" s="182"/>
      <c r="M90" s="182"/>
      <c r="N90" s="189"/>
      <c r="O90" s="172">
        <f t="shared" si="34"/>
        <v>9975000</v>
      </c>
      <c r="P90" s="189"/>
      <c r="Q90" s="257"/>
      <c r="R90" s="257"/>
      <c r="S90" s="257"/>
      <c r="T90" s="257"/>
      <c r="U90" s="257">
        <f>(266000*56%)</f>
        <v>148960</v>
      </c>
      <c r="V90" s="257">
        <f t="shared" si="35"/>
        <v>1117200</v>
      </c>
      <c r="W90" s="182"/>
      <c r="X90" s="189"/>
      <c r="Y90" s="172">
        <f>SUM(Q90:X90)</f>
        <v>1266160</v>
      </c>
      <c r="Z90" s="174">
        <f>O90-Y90</f>
        <v>8708840</v>
      </c>
      <c r="AA90" s="186"/>
    </row>
    <row r="91" spans="1:28" ht="15" customHeight="1" x14ac:dyDescent="0.25">
      <c r="A91" s="168"/>
      <c r="B91" s="169"/>
      <c r="C91" s="169"/>
      <c r="D91" s="192"/>
      <c r="E91" s="172"/>
      <c r="F91" s="172"/>
      <c r="G91" s="172"/>
      <c r="H91" s="172">
        <v>0</v>
      </c>
      <c r="I91" s="172"/>
      <c r="J91" s="172"/>
      <c r="K91" s="172"/>
      <c r="L91" s="172"/>
      <c r="M91" s="172"/>
      <c r="N91" s="172"/>
      <c r="O91" s="172"/>
      <c r="P91" s="172"/>
      <c r="Q91" s="256"/>
      <c r="R91" s="256"/>
      <c r="S91" s="256"/>
      <c r="T91" s="256"/>
      <c r="U91" s="256"/>
      <c r="V91" s="172"/>
      <c r="W91" s="172"/>
      <c r="X91" s="172"/>
      <c r="Y91" s="172"/>
      <c r="Z91" s="178"/>
      <c r="AA91" s="155"/>
    </row>
    <row r="92" spans="1:28" ht="15" customHeight="1" x14ac:dyDescent="0.25">
      <c r="A92" s="161" t="s">
        <v>127</v>
      </c>
      <c r="B92" s="162">
        <v>8</v>
      </c>
      <c r="C92" s="162">
        <v>9</v>
      </c>
      <c r="D92" s="163">
        <v>1590000</v>
      </c>
      <c r="E92" s="164">
        <v>63600000</v>
      </c>
      <c r="F92" s="165">
        <v>0</v>
      </c>
      <c r="G92" s="165">
        <v>0</v>
      </c>
      <c r="H92" s="166">
        <f>+H101</f>
        <v>0</v>
      </c>
      <c r="I92" s="165">
        <v>0</v>
      </c>
      <c r="J92" s="165">
        <v>0</v>
      </c>
      <c r="K92" s="165">
        <f>+K101</f>
        <v>0</v>
      </c>
      <c r="L92" s="165">
        <v>0</v>
      </c>
      <c r="M92" s="165">
        <v>0</v>
      </c>
      <c r="N92" s="166">
        <f>+E92</f>
        <v>63600000</v>
      </c>
      <c r="O92" s="166">
        <f>SUM(O93:O100)</f>
        <v>63600000</v>
      </c>
      <c r="P92" s="166">
        <f>N92-O92</f>
        <v>0</v>
      </c>
      <c r="Q92" s="262">
        <f>+Q93+Q94+Q95+Q96+Q97+Q98+Q99+Q100</f>
        <v>0</v>
      </c>
      <c r="R92" s="262">
        <f t="shared" ref="R92:X92" si="36">+R93+R94+R95+R96+R97+R98+R99+R100</f>
        <v>0</v>
      </c>
      <c r="S92" s="262">
        <f t="shared" si="36"/>
        <v>0</v>
      </c>
      <c r="T92" s="262">
        <f t="shared" si="36"/>
        <v>2315040.0000000005</v>
      </c>
      <c r="U92" s="262">
        <f t="shared" si="36"/>
        <v>5906320.0000000009</v>
      </c>
      <c r="V92" s="166">
        <f t="shared" si="36"/>
        <v>7123200.0000000009</v>
      </c>
      <c r="W92" s="166">
        <f t="shared" si="36"/>
        <v>0</v>
      </c>
      <c r="X92" s="166">
        <f t="shared" si="36"/>
        <v>0</v>
      </c>
      <c r="Y92" s="166">
        <f t="shared" ref="Y92:Y100" si="37">SUM(Q92:X92)</f>
        <v>15344560.000000004</v>
      </c>
      <c r="Z92" s="167">
        <f>SUM(Z93:Z100)</f>
        <v>48255440</v>
      </c>
      <c r="AA92" s="155"/>
    </row>
    <row r="93" spans="1:28" s="137" customFormat="1" ht="15" customHeight="1" x14ac:dyDescent="0.25">
      <c r="A93" s="188" t="s">
        <v>182</v>
      </c>
      <c r="B93" s="180">
        <v>1</v>
      </c>
      <c r="C93" s="180">
        <v>9</v>
      </c>
      <c r="D93" s="181">
        <v>1590000</v>
      </c>
      <c r="E93" s="181">
        <v>7950000</v>
      </c>
      <c r="F93" s="182"/>
      <c r="G93" s="182"/>
      <c r="H93" s="189"/>
      <c r="I93" s="182"/>
      <c r="J93" s="182"/>
      <c r="K93" s="182"/>
      <c r="L93" s="182"/>
      <c r="M93" s="182"/>
      <c r="N93" s="189"/>
      <c r="O93" s="172">
        <f t="shared" ref="O93:O100" si="38">E93+H93+K93</f>
        <v>7950000</v>
      </c>
      <c r="P93" s="189"/>
      <c r="Q93" s="257"/>
      <c r="R93" s="257"/>
      <c r="S93" s="257"/>
      <c r="T93" s="257">
        <f>318000*56%</f>
        <v>178080.00000000003</v>
      </c>
      <c r="U93" s="257">
        <f>1590000*56%</f>
        <v>890400.00000000012</v>
      </c>
      <c r="V93" s="257">
        <f>1590000*56%</f>
        <v>890400.00000000012</v>
      </c>
      <c r="W93" s="182"/>
      <c r="X93" s="189"/>
      <c r="Y93" s="172">
        <f t="shared" si="37"/>
        <v>1958880.0000000005</v>
      </c>
      <c r="Z93" s="174">
        <f t="shared" ref="Z93:Z100" si="39">O93-Y93</f>
        <v>5991120</v>
      </c>
      <c r="AA93" s="186"/>
      <c r="AB93" s="186"/>
    </row>
    <row r="94" spans="1:28" s="137" customFormat="1" ht="15" customHeight="1" x14ac:dyDescent="0.25">
      <c r="A94" s="188" t="s">
        <v>183</v>
      </c>
      <c r="B94" s="180">
        <v>1</v>
      </c>
      <c r="C94" s="180">
        <v>9</v>
      </c>
      <c r="D94" s="181">
        <v>1590000</v>
      </c>
      <c r="E94" s="181">
        <v>7950000</v>
      </c>
      <c r="F94" s="182"/>
      <c r="G94" s="182"/>
      <c r="H94" s="189"/>
      <c r="I94" s="182"/>
      <c r="J94" s="182"/>
      <c r="K94" s="182"/>
      <c r="L94" s="182"/>
      <c r="M94" s="182"/>
      <c r="N94" s="189"/>
      <c r="O94" s="172">
        <f t="shared" si="38"/>
        <v>7950000</v>
      </c>
      <c r="P94" s="189"/>
      <c r="Q94" s="257"/>
      <c r="R94" s="257"/>
      <c r="S94" s="257"/>
      <c r="T94" s="257">
        <f>1166000*56%</f>
        <v>652960.00000000012</v>
      </c>
      <c r="U94" s="257">
        <f t="shared" ref="U94:V100" si="40">1590000*56%</f>
        <v>890400.00000000012</v>
      </c>
      <c r="V94" s="257">
        <f t="shared" si="40"/>
        <v>890400.00000000012</v>
      </c>
      <c r="W94" s="182"/>
      <c r="X94" s="189"/>
      <c r="Y94" s="172">
        <f t="shared" si="37"/>
        <v>2433760.0000000005</v>
      </c>
      <c r="Z94" s="174">
        <f t="shared" si="39"/>
        <v>5516240</v>
      </c>
      <c r="AA94" s="186"/>
    </row>
    <row r="95" spans="1:28" s="137" customFormat="1" ht="15" customHeight="1" x14ac:dyDescent="0.25">
      <c r="A95" s="188" t="s">
        <v>184</v>
      </c>
      <c r="B95" s="180">
        <v>1</v>
      </c>
      <c r="C95" s="180">
        <v>9</v>
      </c>
      <c r="D95" s="181">
        <v>1590000</v>
      </c>
      <c r="E95" s="181">
        <v>7950000</v>
      </c>
      <c r="F95" s="182"/>
      <c r="G95" s="182"/>
      <c r="H95" s="189"/>
      <c r="I95" s="182"/>
      <c r="J95" s="182"/>
      <c r="K95" s="182"/>
      <c r="L95" s="182"/>
      <c r="M95" s="182"/>
      <c r="N95" s="189"/>
      <c r="O95" s="172">
        <f t="shared" si="38"/>
        <v>7950000</v>
      </c>
      <c r="P95" s="189"/>
      <c r="Q95" s="257"/>
      <c r="R95" s="257"/>
      <c r="S95" s="257"/>
      <c r="T95" s="257">
        <f>901000*56%</f>
        <v>504560.00000000006</v>
      </c>
      <c r="U95" s="257">
        <f t="shared" si="40"/>
        <v>890400.00000000012</v>
      </c>
      <c r="V95" s="257">
        <f t="shared" si="40"/>
        <v>890400.00000000012</v>
      </c>
      <c r="W95" s="182"/>
      <c r="X95" s="189"/>
      <c r="Y95" s="172">
        <f t="shared" si="37"/>
        <v>2285360.0000000005</v>
      </c>
      <c r="Z95" s="174">
        <f t="shared" si="39"/>
        <v>5664640</v>
      </c>
      <c r="AA95" s="186"/>
    </row>
    <row r="96" spans="1:28" s="137" customFormat="1" ht="15" customHeight="1" x14ac:dyDescent="0.25">
      <c r="A96" s="188" t="s">
        <v>185</v>
      </c>
      <c r="B96" s="180">
        <v>1</v>
      </c>
      <c r="C96" s="180">
        <v>9</v>
      </c>
      <c r="D96" s="181">
        <v>1590000</v>
      </c>
      <c r="E96" s="181">
        <v>7950000</v>
      </c>
      <c r="F96" s="182"/>
      <c r="G96" s="182"/>
      <c r="H96" s="189"/>
      <c r="I96" s="182"/>
      <c r="J96" s="182"/>
      <c r="K96" s="182"/>
      <c r="L96" s="182"/>
      <c r="M96" s="182"/>
      <c r="N96" s="189"/>
      <c r="O96" s="172">
        <f t="shared" si="38"/>
        <v>7950000</v>
      </c>
      <c r="P96" s="189"/>
      <c r="Q96" s="257"/>
      <c r="R96" s="257"/>
      <c r="S96" s="257"/>
      <c r="T96" s="257">
        <f>901000*56%</f>
        <v>504560.00000000006</v>
      </c>
      <c r="U96" s="257">
        <f t="shared" si="40"/>
        <v>890400.00000000012</v>
      </c>
      <c r="V96" s="257">
        <f t="shared" si="40"/>
        <v>890400.00000000012</v>
      </c>
      <c r="W96" s="182"/>
      <c r="X96" s="189"/>
      <c r="Y96" s="172">
        <f t="shared" si="37"/>
        <v>2285360.0000000005</v>
      </c>
      <c r="Z96" s="174">
        <f t="shared" si="39"/>
        <v>5664640</v>
      </c>
      <c r="AA96" s="186"/>
    </row>
    <row r="97" spans="1:29" s="137" customFormat="1" ht="15" customHeight="1" x14ac:dyDescent="0.25">
      <c r="A97" s="188" t="s">
        <v>186</v>
      </c>
      <c r="B97" s="180">
        <v>1</v>
      </c>
      <c r="C97" s="180">
        <v>9</v>
      </c>
      <c r="D97" s="181">
        <v>1590000</v>
      </c>
      <c r="E97" s="181">
        <v>7950000</v>
      </c>
      <c r="F97" s="182"/>
      <c r="G97" s="182"/>
      <c r="H97" s="189"/>
      <c r="I97" s="182"/>
      <c r="J97" s="182"/>
      <c r="K97" s="182"/>
      <c r="L97" s="182"/>
      <c r="M97" s="182"/>
      <c r="N97" s="189"/>
      <c r="O97" s="172">
        <f t="shared" si="38"/>
        <v>7950000</v>
      </c>
      <c r="P97" s="189"/>
      <c r="Q97" s="257"/>
      <c r="R97" s="257"/>
      <c r="S97" s="257"/>
      <c r="T97" s="257">
        <f>848000*56%</f>
        <v>474880.00000000006</v>
      </c>
      <c r="U97" s="257">
        <f t="shared" si="40"/>
        <v>890400.00000000012</v>
      </c>
      <c r="V97" s="257">
        <f t="shared" si="40"/>
        <v>890400.00000000012</v>
      </c>
      <c r="W97" s="182"/>
      <c r="X97" s="189"/>
      <c r="Y97" s="172">
        <f t="shared" si="37"/>
        <v>2255680.0000000005</v>
      </c>
      <c r="Z97" s="174">
        <f t="shared" si="39"/>
        <v>5694320</v>
      </c>
      <c r="AA97" s="186"/>
    </row>
    <row r="98" spans="1:29" s="137" customFormat="1" ht="15" customHeight="1" x14ac:dyDescent="0.25">
      <c r="A98" s="191" t="s">
        <v>221</v>
      </c>
      <c r="B98" s="180">
        <v>1</v>
      </c>
      <c r="C98" s="180">
        <v>9</v>
      </c>
      <c r="D98" s="181">
        <v>1590000</v>
      </c>
      <c r="E98" s="181">
        <v>7950000</v>
      </c>
      <c r="F98" s="182"/>
      <c r="G98" s="182"/>
      <c r="H98" s="189"/>
      <c r="I98" s="182"/>
      <c r="J98" s="182"/>
      <c r="K98" s="182"/>
      <c r="L98" s="182"/>
      <c r="M98" s="182"/>
      <c r="N98" s="189"/>
      <c r="O98" s="172">
        <f t="shared" si="38"/>
        <v>7950000</v>
      </c>
      <c r="P98" s="189"/>
      <c r="Q98" s="257"/>
      <c r="R98" s="257"/>
      <c r="S98" s="257"/>
      <c r="T98" s="257"/>
      <c r="U98" s="257">
        <f t="shared" si="40"/>
        <v>890400.00000000012</v>
      </c>
      <c r="V98" s="257">
        <f t="shared" si="40"/>
        <v>890400.00000000012</v>
      </c>
      <c r="W98" s="182"/>
      <c r="X98" s="189"/>
      <c r="Y98" s="172">
        <f t="shared" si="37"/>
        <v>1780800.0000000002</v>
      </c>
      <c r="Z98" s="174">
        <f t="shared" si="39"/>
        <v>6169200</v>
      </c>
      <c r="AA98" s="186"/>
    </row>
    <row r="99" spans="1:29" s="137" customFormat="1" ht="15" customHeight="1" x14ac:dyDescent="0.25">
      <c r="A99" s="191" t="s">
        <v>222</v>
      </c>
      <c r="B99" s="180">
        <v>1</v>
      </c>
      <c r="C99" s="180">
        <v>9</v>
      </c>
      <c r="D99" s="181">
        <v>1590000</v>
      </c>
      <c r="E99" s="181">
        <v>7950000</v>
      </c>
      <c r="F99" s="182"/>
      <c r="G99" s="182"/>
      <c r="H99" s="189"/>
      <c r="I99" s="182"/>
      <c r="J99" s="182"/>
      <c r="K99" s="182"/>
      <c r="L99" s="182"/>
      <c r="M99" s="182"/>
      <c r="N99" s="189"/>
      <c r="O99" s="172">
        <f t="shared" si="38"/>
        <v>7950000</v>
      </c>
      <c r="P99" s="189"/>
      <c r="Q99" s="257"/>
      <c r="R99" s="257"/>
      <c r="S99" s="257"/>
      <c r="T99" s="257"/>
      <c r="U99" s="257">
        <f>795000*56%</f>
        <v>445200.00000000006</v>
      </c>
      <c r="V99" s="257">
        <f t="shared" si="40"/>
        <v>890400.00000000012</v>
      </c>
      <c r="W99" s="182"/>
      <c r="X99" s="189"/>
      <c r="Y99" s="172">
        <f t="shared" si="37"/>
        <v>1335600.0000000002</v>
      </c>
      <c r="Z99" s="174">
        <f t="shared" si="39"/>
        <v>6614400</v>
      </c>
      <c r="AA99" s="186"/>
      <c r="AB99" s="186"/>
    </row>
    <row r="100" spans="1:29" s="137" customFormat="1" ht="15" customHeight="1" x14ac:dyDescent="0.25">
      <c r="A100" s="191" t="s">
        <v>223</v>
      </c>
      <c r="B100" s="180">
        <v>1</v>
      </c>
      <c r="C100" s="180">
        <v>9</v>
      </c>
      <c r="D100" s="181">
        <v>1590000</v>
      </c>
      <c r="E100" s="181">
        <v>7950000</v>
      </c>
      <c r="F100" s="182"/>
      <c r="G100" s="182"/>
      <c r="H100" s="189"/>
      <c r="I100" s="182"/>
      <c r="J100" s="182"/>
      <c r="K100" s="182"/>
      <c r="L100" s="182"/>
      <c r="M100" s="182"/>
      <c r="N100" s="189"/>
      <c r="O100" s="172">
        <f t="shared" si="38"/>
        <v>7950000</v>
      </c>
      <c r="P100" s="189"/>
      <c r="Q100" s="257"/>
      <c r="R100" s="257"/>
      <c r="S100" s="257"/>
      <c r="T100" s="257"/>
      <c r="U100" s="257">
        <f>212000*56%</f>
        <v>118720.00000000001</v>
      </c>
      <c r="V100" s="257">
        <f t="shared" si="40"/>
        <v>890400.00000000012</v>
      </c>
      <c r="W100" s="182"/>
      <c r="X100" s="189"/>
      <c r="Y100" s="172">
        <f t="shared" si="37"/>
        <v>1009120.0000000001</v>
      </c>
      <c r="Z100" s="174">
        <f t="shared" si="39"/>
        <v>6940880</v>
      </c>
      <c r="AA100" s="186"/>
    </row>
    <row r="101" spans="1:29" ht="15" customHeight="1" x14ac:dyDescent="0.25">
      <c r="A101" s="168"/>
      <c r="B101" s="180"/>
      <c r="C101" s="180"/>
      <c r="D101" s="181"/>
      <c r="E101" s="181"/>
      <c r="F101" s="172"/>
      <c r="G101" s="172"/>
      <c r="H101" s="172">
        <v>0</v>
      </c>
      <c r="I101" s="172"/>
      <c r="J101" s="172"/>
      <c r="K101" s="172"/>
      <c r="L101" s="172"/>
      <c r="M101" s="172"/>
      <c r="N101" s="172"/>
      <c r="O101" s="172"/>
      <c r="P101" s="172"/>
      <c r="Q101" s="256"/>
      <c r="R101" s="256"/>
      <c r="S101" s="256"/>
      <c r="T101" s="256"/>
      <c r="U101" s="256"/>
      <c r="V101" s="172"/>
      <c r="W101" s="172"/>
      <c r="X101" s="172"/>
      <c r="Y101" s="193"/>
      <c r="Z101" s="194"/>
      <c r="AA101" s="155"/>
    </row>
    <row r="102" spans="1:29" ht="15" customHeight="1" x14ac:dyDescent="0.25">
      <c r="A102" s="156" t="s">
        <v>95</v>
      </c>
      <c r="B102" s="157"/>
      <c r="C102" s="157"/>
      <c r="D102" s="158"/>
      <c r="E102" s="159">
        <f>E29+E31+E36+E42+E75+E34+E48+E79+E82+E86+E92</f>
        <v>892145000</v>
      </c>
      <c r="F102" s="159">
        <f t="shared" ref="F102:M102" si="41">F29+F31+F36+F42+F75+F34+F48+F79+F86+F92</f>
        <v>0</v>
      </c>
      <c r="G102" s="159">
        <f t="shared" si="41"/>
        <v>0</v>
      </c>
      <c r="H102" s="159">
        <f t="shared" si="41"/>
        <v>0</v>
      </c>
      <c r="I102" s="159">
        <f t="shared" si="41"/>
        <v>0</v>
      </c>
      <c r="J102" s="159">
        <f t="shared" si="41"/>
        <v>0</v>
      </c>
      <c r="K102" s="159">
        <f t="shared" si="41"/>
        <v>0</v>
      </c>
      <c r="L102" s="159">
        <f t="shared" si="41"/>
        <v>0</v>
      </c>
      <c r="M102" s="159">
        <f t="shared" si="41"/>
        <v>0</v>
      </c>
      <c r="N102" s="159">
        <f t="shared" ref="N102:P102" si="42">N29+N31+N36+N42+N75+N34+N48+N79+N82+N86+N92</f>
        <v>892145000</v>
      </c>
      <c r="O102" s="159">
        <f>O29+O31+O36+O42+O75+O34+O48+O79+O82+O86+O92</f>
        <v>867177500</v>
      </c>
      <c r="P102" s="159">
        <f t="shared" si="42"/>
        <v>24967500</v>
      </c>
      <c r="Q102" s="261">
        <f>Q29+Q31+Q36+Q42+Q75+Q34+Q48+Q79+Q82+Q86+Q92</f>
        <v>13165200.25</v>
      </c>
      <c r="R102" s="261">
        <f t="shared" ref="R102:Z102" si="43">R29+R31+R36+R42+R75+R34+R48+R79+R82+R86+R92</f>
        <v>19528500</v>
      </c>
      <c r="S102" s="261">
        <f t="shared" si="43"/>
        <v>19528500</v>
      </c>
      <c r="T102" s="261">
        <f t="shared" si="43"/>
        <v>42503600</v>
      </c>
      <c r="U102" s="261">
        <f t="shared" si="43"/>
        <v>80533330</v>
      </c>
      <c r="V102" s="159">
        <f t="shared" si="43"/>
        <v>92168500</v>
      </c>
      <c r="W102" s="159">
        <f t="shared" si="43"/>
        <v>0</v>
      </c>
      <c r="X102" s="159">
        <f t="shared" si="43"/>
        <v>0</v>
      </c>
      <c r="Y102" s="159">
        <f>Y29+Y31+Y36+Y42+Y75+Y34+Y48+Y79+Y82+Y86+Y92</f>
        <v>267427630.25</v>
      </c>
      <c r="Z102" s="159">
        <f t="shared" si="43"/>
        <v>599749869.75</v>
      </c>
      <c r="AA102" s="155"/>
    </row>
    <row r="103" spans="1:29" ht="15" customHeight="1" x14ac:dyDescent="0.25">
      <c r="A103" s="156" t="s">
        <v>97</v>
      </c>
      <c r="B103" s="157"/>
      <c r="C103" s="157"/>
      <c r="D103" s="158"/>
      <c r="E103" s="159">
        <f>E28+E102</f>
        <v>3602945000</v>
      </c>
      <c r="F103" s="159">
        <f>F28+F102</f>
        <v>0</v>
      </c>
      <c r="G103" s="159">
        <f>+G3+G5+G7+G9+G13+G37+G43+G75</f>
        <v>0</v>
      </c>
      <c r="H103" s="159">
        <f>H28+H102</f>
        <v>0</v>
      </c>
      <c r="I103" s="159"/>
      <c r="J103" s="159">
        <f>+J3+J5+J7+J9+J13+J37+J43+J75</f>
        <v>0</v>
      </c>
      <c r="K103" s="159">
        <f>+K3+K5+K7+K9+K13+K37+K43+K75</f>
        <v>0</v>
      </c>
      <c r="L103" s="159">
        <f>+L3+L5+L7+L9+L13+L37+L43+L75</f>
        <v>0</v>
      </c>
      <c r="M103" s="159">
        <f>+M3+M5+M7+M9+M13+M37+M43+M75</f>
        <v>0</v>
      </c>
      <c r="N103" s="159">
        <f t="shared" ref="N103:Y103" si="44">N28+N102</f>
        <v>3602945000</v>
      </c>
      <c r="O103" s="159">
        <f t="shared" si="44"/>
        <v>1488818300</v>
      </c>
      <c r="P103" s="159">
        <f t="shared" si="44"/>
        <v>2114126700</v>
      </c>
      <c r="Q103" s="261">
        <f>Q28+Q102</f>
        <v>23373600.25</v>
      </c>
      <c r="R103" s="261">
        <f t="shared" ref="R103:X103" si="45">R28+R102</f>
        <v>39804300</v>
      </c>
      <c r="S103" s="261">
        <f t="shared" si="45"/>
        <v>57570300</v>
      </c>
      <c r="T103" s="261">
        <f t="shared" si="45"/>
        <v>155980400</v>
      </c>
      <c r="U103" s="261">
        <f t="shared" si="45"/>
        <v>299196130</v>
      </c>
      <c r="V103" s="159">
        <f t="shared" si="45"/>
        <v>313143700</v>
      </c>
      <c r="W103" s="159">
        <f t="shared" si="45"/>
        <v>0</v>
      </c>
      <c r="X103" s="159">
        <f t="shared" si="45"/>
        <v>0</v>
      </c>
      <c r="Y103" s="159">
        <f t="shared" si="44"/>
        <v>889068430.25</v>
      </c>
      <c r="Z103" s="195">
        <f t="shared" ref="Z103:Z124" si="46">O103-Y103</f>
        <v>599749869.75</v>
      </c>
      <c r="AA103" s="155"/>
      <c r="AB103" s="155"/>
      <c r="AC103" s="155"/>
    </row>
    <row r="104" spans="1:29" ht="15" customHeight="1" x14ac:dyDescent="0.25">
      <c r="A104" s="99" t="s">
        <v>79</v>
      </c>
      <c r="B104" s="18" t="s">
        <v>46</v>
      </c>
      <c r="C104" s="18">
        <v>1</v>
      </c>
      <c r="D104" s="196">
        <v>114000000</v>
      </c>
      <c r="E104" s="197"/>
      <c r="F104" s="197">
        <v>114000000</v>
      </c>
      <c r="G104" s="198"/>
      <c r="H104" s="197"/>
      <c r="I104" s="197"/>
      <c r="J104" s="173"/>
      <c r="K104" s="173"/>
      <c r="L104" s="173"/>
      <c r="M104" s="173"/>
      <c r="N104" s="173">
        <f>SUM(E104:M104)</f>
        <v>114000000</v>
      </c>
      <c r="O104" s="172">
        <f>Y104</f>
        <v>49974000</v>
      </c>
      <c r="P104" s="172">
        <f>N104-O104</f>
        <v>64026000</v>
      </c>
      <c r="Q104" s="256">
        <v>11098000</v>
      </c>
      <c r="R104" s="256">
        <v>11098000</v>
      </c>
      <c r="S104" s="256">
        <v>11098000</v>
      </c>
      <c r="T104" s="256">
        <v>5560000</v>
      </c>
      <c r="U104" s="256"/>
      <c r="V104" s="108">
        <f>5560000+5560000</f>
        <v>11120000</v>
      </c>
      <c r="W104" s="172"/>
      <c r="X104" s="172"/>
      <c r="Y104" s="182">
        <f>SUM(Q104:X104)</f>
        <v>49974000</v>
      </c>
      <c r="Z104" s="194">
        <f t="shared" si="46"/>
        <v>0</v>
      </c>
      <c r="AA104" s="155"/>
    </row>
    <row r="105" spans="1:29" ht="15" customHeight="1" x14ac:dyDescent="0.25">
      <c r="A105" s="100" t="s">
        <v>80</v>
      </c>
      <c r="B105" s="18" t="s">
        <v>46</v>
      </c>
      <c r="C105" s="18">
        <v>1</v>
      </c>
      <c r="D105" s="196">
        <v>46000000</v>
      </c>
      <c r="E105" s="199">
        <v>43100000</v>
      </c>
      <c r="F105" s="197"/>
      <c r="G105" s="198"/>
      <c r="H105" s="197"/>
      <c r="I105" s="197"/>
      <c r="J105" s="173"/>
      <c r="K105" s="173"/>
      <c r="L105" s="173">
        <v>0</v>
      </c>
      <c r="M105" s="173"/>
      <c r="N105" s="173">
        <f t="shared" ref="N105:N114" si="47">SUM(E105:M105)</f>
        <v>43100000</v>
      </c>
      <c r="O105" s="172">
        <v>0</v>
      </c>
      <c r="P105" s="172">
        <f t="shared" ref="P105:P124" si="48">N105-O105</f>
        <v>43100000</v>
      </c>
      <c r="Q105" s="256"/>
      <c r="R105" s="256"/>
      <c r="S105" s="256"/>
      <c r="T105" s="256"/>
      <c r="U105" s="256"/>
      <c r="V105" s="172">
        <v>0</v>
      </c>
      <c r="W105" s="172"/>
      <c r="X105" s="172"/>
      <c r="Y105" s="182">
        <f t="shared" ref="Y105:Y124" si="49">SUM(Q105:X105)</f>
        <v>0</v>
      </c>
      <c r="Z105" s="194">
        <f t="shared" si="46"/>
        <v>0</v>
      </c>
      <c r="AA105" s="155"/>
    </row>
    <row r="106" spans="1:29" ht="15" customHeight="1" x14ac:dyDescent="0.25">
      <c r="A106" s="100" t="s">
        <v>81</v>
      </c>
      <c r="B106" s="18" t="s">
        <v>46</v>
      </c>
      <c r="C106" s="18">
        <v>1</v>
      </c>
      <c r="D106" s="196">
        <v>55672720</v>
      </c>
      <c r="E106" s="199">
        <v>55672720</v>
      </c>
      <c r="F106" s="197"/>
      <c r="G106" s="198"/>
      <c r="H106" s="197"/>
      <c r="I106" s="197"/>
      <c r="J106" s="173"/>
      <c r="K106" s="173"/>
      <c r="L106" s="173"/>
      <c r="M106" s="173"/>
      <c r="N106" s="173">
        <f t="shared" si="47"/>
        <v>55672720</v>
      </c>
      <c r="O106" s="172">
        <v>0</v>
      </c>
      <c r="P106" s="172">
        <f t="shared" si="48"/>
        <v>55672720</v>
      </c>
      <c r="Q106" s="256"/>
      <c r="R106" s="256"/>
      <c r="S106" s="256"/>
      <c r="T106" s="256"/>
      <c r="U106" s="256"/>
      <c r="V106" s="172"/>
      <c r="W106" s="172"/>
      <c r="X106" s="172"/>
      <c r="Y106" s="182">
        <f t="shared" si="49"/>
        <v>0</v>
      </c>
      <c r="Z106" s="194">
        <f t="shared" si="46"/>
        <v>0</v>
      </c>
      <c r="AA106" s="155"/>
    </row>
    <row r="107" spans="1:29" ht="15" customHeight="1" x14ac:dyDescent="0.25">
      <c r="A107" s="100" t="s">
        <v>128</v>
      </c>
      <c r="B107" s="18" t="s">
        <v>46</v>
      </c>
      <c r="C107" s="18">
        <v>1</v>
      </c>
      <c r="D107" s="196">
        <v>22000000</v>
      </c>
      <c r="E107" s="199">
        <f>+D107</f>
        <v>22000000</v>
      </c>
      <c r="F107" s="197"/>
      <c r="G107" s="198"/>
      <c r="H107" s="197"/>
      <c r="I107" s="197"/>
      <c r="J107" s="173"/>
      <c r="K107" s="173"/>
      <c r="L107" s="173"/>
      <c r="M107" s="173"/>
      <c r="N107" s="173">
        <f t="shared" ref="N107:N110" si="50">SUM(E107:M107)</f>
        <v>22000000</v>
      </c>
      <c r="O107" s="172">
        <v>0</v>
      </c>
      <c r="P107" s="172">
        <f t="shared" si="48"/>
        <v>22000000</v>
      </c>
      <c r="Q107" s="256"/>
      <c r="R107" s="256"/>
      <c r="S107" s="256"/>
      <c r="T107" s="256"/>
      <c r="U107" s="256"/>
      <c r="V107" s="172"/>
      <c r="W107" s="172"/>
      <c r="X107" s="172"/>
      <c r="Y107" s="182">
        <f t="shared" si="49"/>
        <v>0</v>
      </c>
      <c r="Z107" s="194">
        <f t="shared" si="46"/>
        <v>0</v>
      </c>
      <c r="AA107" s="155"/>
    </row>
    <row r="108" spans="1:29" ht="15" customHeight="1" x14ac:dyDescent="0.25">
      <c r="A108" s="100" t="s">
        <v>129</v>
      </c>
      <c r="B108" s="18" t="s">
        <v>46</v>
      </c>
      <c r="C108" s="18">
        <v>1</v>
      </c>
      <c r="D108" s="196">
        <v>17000000</v>
      </c>
      <c r="E108" s="199">
        <f>+D108</f>
        <v>17000000</v>
      </c>
      <c r="F108" s="197"/>
      <c r="G108" s="198"/>
      <c r="H108" s="197"/>
      <c r="I108" s="197"/>
      <c r="J108" s="173"/>
      <c r="K108" s="173"/>
      <c r="L108" s="173"/>
      <c r="M108" s="173"/>
      <c r="N108" s="173">
        <f t="shared" si="50"/>
        <v>17000000</v>
      </c>
      <c r="O108" s="172">
        <v>0</v>
      </c>
      <c r="P108" s="172">
        <f t="shared" si="48"/>
        <v>17000000</v>
      </c>
      <c r="Q108" s="256"/>
      <c r="R108" s="256"/>
      <c r="S108" s="256"/>
      <c r="T108" s="256"/>
      <c r="U108" s="256"/>
      <c r="V108" s="172"/>
      <c r="W108" s="172"/>
      <c r="X108" s="172"/>
      <c r="Y108" s="182">
        <f t="shared" si="49"/>
        <v>0</v>
      </c>
      <c r="Z108" s="194">
        <f t="shared" si="46"/>
        <v>0</v>
      </c>
      <c r="AA108" s="155"/>
    </row>
    <row r="109" spans="1:29" ht="15" customHeight="1" x14ac:dyDescent="0.25">
      <c r="A109" s="101" t="s">
        <v>83</v>
      </c>
      <c r="B109" s="18" t="s">
        <v>46</v>
      </c>
      <c r="C109" s="18">
        <v>1</v>
      </c>
      <c r="D109" s="196">
        <v>7000000</v>
      </c>
      <c r="E109" s="197"/>
      <c r="F109" s="197">
        <v>7000000</v>
      </c>
      <c r="G109" s="198"/>
      <c r="H109" s="197"/>
      <c r="I109" s="197"/>
      <c r="J109" s="173"/>
      <c r="K109" s="173"/>
      <c r="L109" s="173"/>
      <c r="M109" s="173"/>
      <c r="N109" s="173">
        <f t="shared" si="50"/>
        <v>7000000</v>
      </c>
      <c r="O109" s="172">
        <f t="shared" ref="O109:O113" si="51">Y109</f>
        <v>7000000</v>
      </c>
      <c r="P109" s="173">
        <f t="shared" si="48"/>
        <v>0</v>
      </c>
      <c r="Q109" s="256"/>
      <c r="R109" s="256"/>
      <c r="S109" s="256"/>
      <c r="T109" s="256">
        <v>7000000</v>
      </c>
      <c r="U109" s="108"/>
      <c r="V109" s="108"/>
      <c r="W109" s="172">
        <v>0</v>
      </c>
      <c r="X109" s="172"/>
      <c r="Y109" s="182">
        <f>SUM(Q109:X109)</f>
        <v>7000000</v>
      </c>
      <c r="Z109" s="194">
        <f t="shared" si="46"/>
        <v>0</v>
      </c>
      <c r="AA109" s="155"/>
    </row>
    <row r="110" spans="1:29" ht="15" customHeight="1" x14ac:dyDescent="0.25">
      <c r="A110" s="102" t="s">
        <v>84</v>
      </c>
      <c r="B110" s="18" t="s">
        <v>46</v>
      </c>
      <c r="C110" s="18">
        <v>1</v>
      </c>
      <c r="D110" s="196">
        <v>11000000</v>
      </c>
      <c r="E110" s="197"/>
      <c r="F110" s="197">
        <v>11000000</v>
      </c>
      <c r="G110" s="198"/>
      <c r="H110" s="197"/>
      <c r="I110" s="197"/>
      <c r="J110" s="173"/>
      <c r="K110" s="173"/>
      <c r="L110" s="173"/>
      <c r="M110" s="173"/>
      <c r="N110" s="173">
        <f t="shared" si="50"/>
        <v>11000000</v>
      </c>
      <c r="O110" s="172">
        <f t="shared" si="51"/>
        <v>11000000</v>
      </c>
      <c r="P110" s="173">
        <f t="shared" si="48"/>
        <v>0</v>
      </c>
      <c r="Q110" s="256"/>
      <c r="R110" s="256"/>
      <c r="S110" s="256"/>
      <c r="T110" s="256">
        <v>11000000</v>
      </c>
      <c r="U110" s="256"/>
      <c r="V110" s="172"/>
      <c r="W110" s="172">
        <v>0</v>
      </c>
      <c r="X110" s="172"/>
      <c r="Y110" s="182">
        <f>SUM(Q110:X110)</f>
        <v>11000000</v>
      </c>
      <c r="Z110" s="194">
        <f t="shared" si="46"/>
        <v>0</v>
      </c>
      <c r="AA110" s="155"/>
    </row>
    <row r="111" spans="1:29" ht="15" customHeight="1" x14ac:dyDescent="0.25">
      <c r="A111" s="103" t="s">
        <v>85</v>
      </c>
      <c r="B111" s="18" t="s">
        <v>46</v>
      </c>
      <c r="C111" s="18">
        <v>1</v>
      </c>
      <c r="D111" s="196">
        <v>42429362.131999969</v>
      </c>
      <c r="E111" s="197">
        <v>33429362.131999969</v>
      </c>
      <c r="F111" s="197">
        <v>0</v>
      </c>
      <c r="G111" s="198"/>
      <c r="H111" s="197"/>
      <c r="I111" s="197"/>
      <c r="J111" s="173"/>
      <c r="K111" s="173"/>
      <c r="L111" s="173"/>
      <c r="M111" s="173"/>
      <c r="N111" s="173">
        <f t="shared" si="47"/>
        <v>33429362.131999969</v>
      </c>
      <c r="O111" s="172">
        <f t="shared" si="51"/>
        <v>0</v>
      </c>
      <c r="P111" s="173">
        <f>+N111-O112</f>
        <v>0.13199996948242188</v>
      </c>
      <c r="Q111" s="256"/>
      <c r="R111" s="256"/>
      <c r="S111" s="256"/>
      <c r="T111" s="256"/>
      <c r="U111" s="256"/>
      <c r="V111" s="172"/>
      <c r="W111" s="172">
        <v>0</v>
      </c>
      <c r="X111" s="172"/>
      <c r="Y111" s="182">
        <f t="shared" si="49"/>
        <v>0</v>
      </c>
      <c r="Z111" s="194">
        <f t="shared" si="46"/>
        <v>0</v>
      </c>
      <c r="AA111" s="155"/>
    </row>
    <row r="112" spans="1:29" ht="15" customHeight="1" x14ac:dyDescent="0.25">
      <c r="A112" s="275" t="s">
        <v>235</v>
      </c>
      <c r="B112" s="18"/>
      <c r="C112" s="18"/>
      <c r="D112" s="196"/>
      <c r="E112" s="197">
        <v>33429362</v>
      </c>
      <c r="F112" s="197"/>
      <c r="G112" s="198"/>
      <c r="H112" s="197"/>
      <c r="I112" s="197"/>
      <c r="J112" s="173"/>
      <c r="K112" s="173"/>
      <c r="L112" s="173"/>
      <c r="M112" s="173"/>
      <c r="N112" s="173"/>
      <c r="O112" s="172">
        <v>33429362</v>
      </c>
      <c r="P112" s="173"/>
      <c r="Q112" s="256"/>
      <c r="R112" s="256"/>
      <c r="S112" s="256"/>
      <c r="T112" s="256"/>
      <c r="U112" s="256"/>
      <c r="V112" s="172"/>
      <c r="W112" s="172"/>
      <c r="X112" s="172"/>
      <c r="Y112" s="182">
        <f t="shared" si="49"/>
        <v>0</v>
      </c>
      <c r="Z112" s="194">
        <f t="shared" si="46"/>
        <v>33429362</v>
      </c>
      <c r="AA112" s="155"/>
    </row>
    <row r="113" spans="1:27" ht="15" customHeight="1" x14ac:dyDescent="0.25">
      <c r="A113" s="103" t="s">
        <v>86</v>
      </c>
      <c r="B113" s="18" t="s">
        <v>46</v>
      </c>
      <c r="C113" s="18">
        <v>1</v>
      </c>
      <c r="D113" s="196">
        <v>28850000</v>
      </c>
      <c r="E113" s="197"/>
      <c r="F113" s="197">
        <v>28850000</v>
      </c>
      <c r="G113" s="198"/>
      <c r="H113" s="197"/>
      <c r="I113" s="197"/>
      <c r="J113" s="173"/>
      <c r="K113" s="173"/>
      <c r="L113" s="173"/>
      <c r="M113" s="173"/>
      <c r="N113" s="173">
        <f t="shared" si="47"/>
        <v>28850000</v>
      </c>
      <c r="O113" s="172">
        <f t="shared" si="51"/>
        <v>8050000</v>
      </c>
      <c r="P113" s="173">
        <f t="shared" si="48"/>
        <v>20800000</v>
      </c>
      <c r="Q113" s="256"/>
      <c r="R113" s="256"/>
      <c r="S113" s="256"/>
      <c r="T113" s="256"/>
      <c r="U113" s="256">
        <f>1610000</f>
        <v>1610000</v>
      </c>
      <c r="V113" s="108">
        <f>2300000+4140000</f>
        <v>6440000</v>
      </c>
      <c r="W113" s="172"/>
      <c r="X113" s="172">
        <v>0</v>
      </c>
      <c r="Y113" s="182">
        <f>SUM(Q113:X113)</f>
        <v>8050000</v>
      </c>
      <c r="Z113" s="194">
        <f t="shared" si="46"/>
        <v>0</v>
      </c>
      <c r="AA113" s="155"/>
    </row>
    <row r="114" spans="1:27" ht="15" customHeight="1" x14ac:dyDescent="0.25">
      <c r="A114" s="104" t="s">
        <v>87</v>
      </c>
      <c r="B114" s="18" t="s">
        <v>46</v>
      </c>
      <c r="C114" s="18">
        <v>1</v>
      </c>
      <c r="D114" s="196">
        <v>98011169</v>
      </c>
      <c r="E114" s="197">
        <v>98011169</v>
      </c>
      <c r="F114" s="197"/>
      <c r="G114" s="198"/>
      <c r="H114" s="197"/>
      <c r="I114" s="197"/>
      <c r="J114" s="173"/>
      <c r="K114" s="173"/>
      <c r="L114" s="173"/>
      <c r="M114" s="173"/>
      <c r="N114" s="173">
        <f t="shared" si="47"/>
        <v>98011169</v>
      </c>
      <c r="O114" s="173">
        <v>0</v>
      </c>
      <c r="P114" s="173">
        <f t="shared" si="48"/>
        <v>98011169</v>
      </c>
      <c r="Q114" s="256"/>
      <c r="R114" s="256"/>
      <c r="S114" s="256"/>
      <c r="T114" s="256"/>
      <c r="U114" s="256"/>
      <c r="V114" s="172"/>
      <c r="W114" s="172"/>
      <c r="X114" s="172"/>
      <c r="Y114" s="182">
        <f t="shared" si="49"/>
        <v>0</v>
      </c>
      <c r="Z114" s="194">
        <f t="shared" si="46"/>
        <v>0</v>
      </c>
      <c r="AA114" s="155"/>
    </row>
    <row r="115" spans="1:27" ht="15" customHeight="1" x14ac:dyDescent="0.25">
      <c r="A115" s="106" t="s">
        <v>203</v>
      </c>
      <c r="B115" s="18" t="s">
        <v>46</v>
      </c>
      <c r="C115" s="18">
        <v>1</v>
      </c>
      <c r="D115" s="196">
        <v>60000000</v>
      </c>
      <c r="E115" s="197">
        <v>43400000</v>
      </c>
      <c r="F115" s="197"/>
      <c r="G115" s="198"/>
      <c r="H115" s="197"/>
      <c r="I115" s="200"/>
      <c r="J115" s="173"/>
      <c r="K115" s="173"/>
      <c r="L115" s="173"/>
      <c r="M115" s="173"/>
      <c r="N115" s="173">
        <f t="shared" ref="N115:N121" si="52">SUM(E115:M115)</f>
        <v>43400000</v>
      </c>
      <c r="O115" s="173"/>
      <c r="P115" s="173">
        <f>+N115-O116</f>
        <v>0</v>
      </c>
      <c r="Q115" s="256"/>
      <c r="R115" s="256"/>
      <c r="S115" s="256"/>
      <c r="T115" s="256"/>
      <c r="U115" s="256"/>
      <c r="V115" s="172"/>
      <c r="W115" s="172"/>
      <c r="X115" s="172"/>
      <c r="Y115" s="182">
        <f t="shared" si="49"/>
        <v>0</v>
      </c>
      <c r="Z115" s="194">
        <f t="shared" si="46"/>
        <v>0</v>
      </c>
      <c r="AA115" s="155"/>
    </row>
    <row r="116" spans="1:27" ht="15" customHeight="1" x14ac:dyDescent="0.25">
      <c r="A116" s="107" t="s">
        <v>204</v>
      </c>
      <c r="B116" s="18"/>
      <c r="C116" s="18"/>
      <c r="D116" s="196"/>
      <c r="E116" s="197">
        <v>43400000</v>
      </c>
      <c r="F116" s="197"/>
      <c r="G116" s="198"/>
      <c r="H116" s="197"/>
      <c r="I116" s="200"/>
      <c r="J116" s="173"/>
      <c r="K116" s="173"/>
      <c r="L116" s="173"/>
      <c r="M116" s="173"/>
      <c r="N116" s="173"/>
      <c r="O116" s="173">
        <v>43400000</v>
      </c>
      <c r="P116" s="173"/>
      <c r="Q116" s="256"/>
      <c r="R116" s="256"/>
      <c r="S116" s="256"/>
      <c r="T116" s="256">
        <f>218820*72%</f>
        <v>157550.39999999999</v>
      </c>
      <c r="U116" s="256">
        <f>(1149002)*72%</f>
        <v>827281.44</v>
      </c>
      <c r="V116" s="256">
        <f>362585*72%</f>
        <v>261061.19999999998</v>
      </c>
      <c r="W116" s="172"/>
      <c r="X116" s="172"/>
      <c r="Y116" s="182">
        <f>SUM(Q116:X116)</f>
        <v>1245893.04</v>
      </c>
      <c r="Z116" s="194">
        <f>O116-Y116</f>
        <v>42154106.960000001</v>
      </c>
      <c r="AA116" s="155"/>
    </row>
    <row r="117" spans="1:27" ht="15" customHeight="1" x14ac:dyDescent="0.25">
      <c r="A117" s="106" t="s">
        <v>205</v>
      </c>
      <c r="B117" s="18" t="s">
        <v>46</v>
      </c>
      <c r="C117" s="18">
        <v>1</v>
      </c>
      <c r="D117" s="196">
        <v>35000000</v>
      </c>
      <c r="E117" s="197">
        <v>35000000</v>
      </c>
      <c r="F117" s="197"/>
      <c r="G117" s="198"/>
      <c r="H117" s="197"/>
      <c r="I117" s="197"/>
      <c r="J117" s="173"/>
      <c r="K117" s="173"/>
      <c r="L117" s="173"/>
      <c r="M117" s="173"/>
      <c r="N117" s="173">
        <f>SUM(E117:M117)</f>
        <v>35000000</v>
      </c>
      <c r="O117" s="173"/>
      <c r="P117" s="173">
        <f>+N117-O118</f>
        <v>0</v>
      </c>
      <c r="Q117" s="256"/>
      <c r="R117" s="256"/>
      <c r="S117" s="256"/>
      <c r="T117" s="256"/>
      <c r="U117" s="256"/>
      <c r="V117" s="172"/>
      <c r="W117" s="172"/>
      <c r="X117" s="172"/>
      <c r="Y117" s="182">
        <f t="shared" si="49"/>
        <v>0</v>
      </c>
      <c r="Z117" s="194">
        <f t="shared" si="46"/>
        <v>0</v>
      </c>
      <c r="AA117" s="155"/>
    </row>
    <row r="118" spans="1:27" ht="15" customHeight="1" x14ac:dyDescent="0.25">
      <c r="A118" s="106" t="s">
        <v>204</v>
      </c>
      <c r="B118" s="18"/>
      <c r="C118" s="18"/>
      <c r="D118" s="196"/>
      <c r="E118" s="197">
        <v>35000000</v>
      </c>
      <c r="F118" s="197"/>
      <c r="G118" s="198"/>
      <c r="H118" s="197"/>
      <c r="I118" s="197"/>
      <c r="J118" s="173"/>
      <c r="K118" s="173"/>
      <c r="L118" s="173"/>
      <c r="M118" s="173"/>
      <c r="N118" s="173"/>
      <c r="O118" s="173">
        <v>35000000</v>
      </c>
      <c r="P118" s="173"/>
      <c r="Q118" s="256"/>
      <c r="R118" s="256"/>
      <c r="S118" s="256"/>
      <c r="T118" s="256"/>
      <c r="U118" s="256"/>
      <c r="V118" s="172"/>
      <c r="W118" s="172"/>
      <c r="X118" s="172"/>
      <c r="Y118" s="182">
        <f t="shared" si="49"/>
        <v>0</v>
      </c>
      <c r="Z118" s="194">
        <f t="shared" si="46"/>
        <v>35000000</v>
      </c>
      <c r="AA118" s="155"/>
    </row>
    <row r="119" spans="1:27" ht="15" customHeight="1" x14ac:dyDescent="0.25">
      <c r="A119" s="106" t="s">
        <v>130</v>
      </c>
      <c r="B119" s="18" t="s">
        <v>46</v>
      </c>
      <c r="C119" s="18">
        <v>1</v>
      </c>
      <c r="D119" s="196">
        <v>25000000</v>
      </c>
      <c r="E119" s="197">
        <v>25000000</v>
      </c>
      <c r="F119" s="197"/>
      <c r="G119" s="198"/>
      <c r="H119" s="197"/>
      <c r="I119" s="197"/>
      <c r="J119" s="173"/>
      <c r="K119" s="173"/>
      <c r="L119" s="173"/>
      <c r="M119" s="173"/>
      <c r="N119" s="173">
        <f t="shared" si="52"/>
        <v>25000000</v>
      </c>
      <c r="O119" s="173">
        <v>25000000</v>
      </c>
      <c r="P119" s="173">
        <f t="shared" si="48"/>
        <v>0</v>
      </c>
      <c r="Q119" s="256"/>
      <c r="R119" s="256"/>
      <c r="S119" s="256"/>
      <c r="T119" s="256"/>
      <c r="U119" s="256"/>
      <c r="V119" s="172"/>
      <c r="W119" s="172"/>
      <c r="X119" s="172"/>
      <c r="Y119" s="182">
        <f t="shared" si="49"/>
        <v>0</v>
      </c>
      <c r="Z119" s="194">
        <f t="shared" si="46"/>
        <v>25000000</v>
      </c>
      <c r="AA119" s="155"/>
    </row>
    <row r="120" spans="1:27" ht="15" customHeight="1" x14ac:dyDescent="0.25">
      <c r="A120" s="106" t="s">
        <v>131</v>
      </c>
      <c r="B120" s="18" t="s">
        <v>46</v>
      </c>
      <c r="C120" s="18">
        <v>1</v>
      </c>
      <c r="D120" s="196">
        <v>25000000</v>
      </c>
      <c r="E120" s="197">
        <v>17000000</v>
      </c>
      <c r="F120" s="197"/>
      <c r="G120" s="198"/>
      <c r="H120" s="197"/>
      <c r="I120" s="197"/>
      <c r="J120" s="173"/>
      <c r="K120" s="173"/>
      <c r="L120" s="173"/>
      <c r="M120" s="173"/>
      <c r="N120" s="173">
        <f t="shared" si="52"/>
        <v>17000000</v>
      </c>
      <c r="O120" s="173">
        <v>0</v>
      </c>
      <c r="P120" s="173">
        <f t="shared" si="48"/>
        <v>17000000</v>
      </c>
      <c r="Q120" s="256"/>
      <c r="R120" s="256"/>
      <c r="S120" s="256"/>
      <c r="T120" s="256"/>
      <c r="U120" s="256"/>
      <c r="V120" s="172"/>
      <c r="W120" s="172"/>
      <c r="X120" s="172"/>
      <c r="Y120" s="182">
        <f t="shared" si="49"/>
        <v>0</v>
      </c>
      <c r="Z120" s="194">
        <f t="shared" si="46"/>
        <v>0</v>
      </c>
      <c r="AA120" s="155"/>
    </row>
    <row r="121" spans="1:27" ht="15" customHeight="1" x14ac:dyDescent="0.25">
      <c r="A121" s="104" t="s">
        <v>132</v>
      </c>
      <c r="B121" s="18" t="s">
        <v>46</v>
      </c>
      <c r="C121" s="18">
        <v>1</v>
      </c>
      <c r="D121" s="196">
        <v>42000000</v>
      </c>
      <c r="E121" s="197">
        <v>21000000</v>
      </c>
      <c r="F121" s="197"/>
      <c r="G121" s="198"/>
      <c r="H121" s="197"/>
      <c r="I121" s="197"/>
      <c r="J121" s="173"/>
      <c r="K121" s="173"/>
      <c r="L121" s="173"/>
      <c r="M121" s="173"/>
      <c r="N121" s="173">
        <f t="shared" si="52"/>
        <v>21000000</v>
      </c>
      <c r="O121" s="173">
        <v>0</v>
      </c>
      <c r="P121" s="173">
        <f t="shared" si="48"/>
        <v>21000000</v>
      </c>
      <c r="Q121" s="256"/>
      <c r="R121" s="256"/>
      <c r="S121" s="256"/>
      <c r="T121" s="256"/>
      <c r="U121" s="256"/>
      <c r="V121" s="172"/>
      <c r="W121" s="172"/>
      <c r="X121" s="172"/>
      <c r="Y121" s="182">
        <f t="shared" si="49"/>
        <v>0</v>
      </c>
      <c r="Z121" s="194">
        <f t="shared" si="46"/>
        <v>0</v>
      </c>
      <c r="AA121" s="155"/>
    </row>
    <row r="122" spans="1:27" ht="15" customHeight="1" x14ac:dyDescent="0.25">
      <c r="A122" s="104" t="s">
        <v>133</v>
      </c>
      <c r="B122" s="18" t="s">
        <v>46</v>
      </c>
      <c r="C122" s="18">
        <v>1</v>
      </c>
      <c r="D122" s="196">
        <f>11300000+80000000</f>
        <v>91300000</v>
      </c>
      <c r="E122" s="197">
        <v>0</v>
      </c>
      <c r="F122" s="197">
        <v>91300000</v>
      </c>
      <c r="G122" s="198"/>
      <c r="H122" s="197"/>
      <c r="I122" s="197"/>
      <c r="J122" s="173"/>
      <c r="K122" s="173"/>
      <c r="L122" s="173"/>
      <c r="M122" s="173"/>
      <c r="N122" s="173">
        <f t="shared" ref="N122" si="53">SUM(E122:M122)</f>
        <v>91300000</v>
      </c>
      <c r="O122" s="173">
        <f>Y122</f>
        <v>15500000</v>
      </c>
      <c r="P122" s="173">
        <f t="shared" si="48"/>
        <v>75800000</v>
      </c>
      <c r="Q122" s="256">
        <v>15500000</v>
      </c>
      <c r="R122" s="256">
        <v>0</v>
      </c>
      <c r="S122" s="256"/>
      <c r="T122" s="256"/>
      <c r="U122" s="256"/>
      <c r="V122" s="172"/>
      <c r="W122" s="172"/>
      <c r="X122" s="172"/>
      <c r="Y122" s="182">
        <f>SUM(Q122:X122)</f>
        <v>15500000</v>
      </c>
      <c r="Z122" s="194">
        <f t="shared" si="46"/>
        <v>0</v>
      </c>
      <c r="AA122" s="155"/>
    </row>
    <row r="123" spans="1:27" ht="15" customHeight="1" x14ac:dyDescent="0.25">
      <c r="A123" s="104" t="s">
        <v>136</v>
      </c>
      <c r="B123" s="18" t="s">
        <v>135</v>
      </c>
      <c r="C123" s="18">
        <v>1</v>
      </c>
      <c r="D123" s="196">
        <v>4500000</v>
      </c>
      <c r="E123" s="199">
        <v>3000000</v>
      </c>
      <c r="F123" s="197"/>
      <c r="G123" s="198"/>
      <c r="H123" s="201"/>
      <c r="I123" s="197"/>
      <c r="J123" s="173"/>
      <c r="K123" s="173"/>
      <c r="L123" s="173"/>
      <c r="M123" s="173"/>
      <c r="N123" s="173">
        <f t="shared" ref="N123:N124" si="54">SUM(E123:M123)</f>
        <v>3000000</v>
      </c>
      <c r="O123" s="173">
        <v>0</v>
      </c>
      <c r="P123" s="173">
        <f t="shared" si="48"/>
        <v>3000000</v>
      </c>
      <c r="Q123" s="256"/>
      <c r="R123" s="256"/>
      <c r="S123" s="256"/>
      <c r="T123" s="256"/>
      <c r="U123" s="256"/>
      <c r="V123" s="172"/>
      <c r="W123" s="172"/>
      <c r="X123" s="172"/>
      <c r="Y123" s="182">
        <f t="shared" si="49"/>
        <v>0</v>
      </c>
      <c r="Z123" s="194">
        <f t="shared" si="46"/>
        <v>0</v>
      </c>
      <c r="AA123" s="155"/>
    </row>
    <row r="124" spans="1:27" ht="15" customHeight="1" x14ac:dyDescent="0.25">
      <c r="A124" s="104" t="s">
        <v>137</v>
      </c>
      <c r="B124" s="18" t="s">
        <v>46</v>
      </c>
      <c r="C124" s="18">
        <v>1</v>
      </c>
      <c r="D124" s="196">
        <v>6000000</v>
      </c>
      <c r="E124" s="197">
        <v>4000000</v>
      </c>
      <c r="F124" s="199">
        <v>0</v>
      </c>
      <c r="G124" s="198"/>
      <c r="H124" s="199"/>
      <c r="I124" s="197"/>
      <c r="J124" s="173"/>
      <c r="K124" s="173"/>
      <c r="L124" s="173"/>
      <c r="M124" s="173"/>
      <c r="N124" s="173">
        <f t="shared" si="54"/>
        <v>4000000</v>
      </c>
      <c r="O124" s="173">
        <v>0</v>
      </c>
      <c r="P124" s="173">
        <f t="shared" si="48"/>
        <v>4000000</v>
      </c>
      <c r="Q124" s="256"/>
      <c r="R124" s="256"/>
      <c r="S124" s="256"/>
      <c r="T124" s="256"/>
      <c r="U124" s="256"/>
      <c r="V124" s="172"/>
      <c r="W124" s="172"/>
      <c r="X124" s="172"/>
      <c r="Y124" s="182">
        <f t="shared" si="49"/>
        <v>0</v>
      </c>
      <c r="Z124" s="194">
        <f t="shared" si="46"/>
        <v>0</v>
      </c>
      <c r="AA124" s="155"/>
    </row>
    <row r="125" spans="1:27" ht="15" customHeight="1" x14ac:dyDescent="0.25">
      <c r="A125" s="156" t="s">
        <v>36</v>
      </c>
      <c r="B125" s="202"/>
      <c r="C125" s="202"/>
      <c r="D125" s="203"/>
      <c r="E125" s="159">
        <f>+E104+E105+E106+E107+E108+E109+E110+E111+E113+E114+E115+E117+E119+E120+E121+E122+E123+E124</f>
        <v>417613251.13199997</v>
      </c>
      <c r="F125" s="159">
        <f>SUM(F104:F124)</f>
        <v>252150000</v>
      </c>
      <c r="G125" s="159"/>
      <c r="H125" s="159">
        <f>SUM(H104:H124)</f>
        <v>0</v>
      </c>
      <c r="I125" s="159">
        <f>SUM(I104:I124)</f>
        <v>0</v>
      </c>
      <c r="J125" s="159"/>
      <c r="K125" s="159">
        <f>SUM(K104:K124)</f>
        <v>0</v>
      </c>
      <c r="L125" s="159">
        <f>SUM(L104:L124)</f>
        <v>0</v>
      </c>
      <c r="M125" s="159">
        <f>SUM(M104:M124)</f>
        <v>0</v>
      </c>
      <c r="N125" s="159">
        <f>+N104+N105+N106+N107+N108+N109+N110+N111+N113+N114+N115+N117+N119+N120+N121+N122+N123+N124</f>
        <v>669763251.13199997</v>
      </c>
      <c r="O125" s="159">
        <f>+O104+O105+O106+O107+O108+O109+O110+O112+O113+O114+O116+O118+O119+O120+O121+O122+O123+O124</f>
        <v>228353362</v>
      </c>
      <c r="P125" s="159">
        <f>N125-O125</f>
        <v>441409889.13199997</v>
      </c>
      <c r="Q125" s="261">
        <f>SUM(Q104:Q124)</f>
        <v>26598000</v>
      </c>
      <c r="R125" s="261">
        <f t="shared" ref="R125:X125" si="55">SUM(R104:R124)</f>
        <v>11098000</v>
      </c>
      <c r="S125" s="261">
        <f t="shared" si="55"/>
        <v>11098000</v>
      </c>
      <c r="T125" s="261">
        <f t="shared" si="55"/>
        <v>23717550.399999999</v>
      </c>
      <c r="U125" s="261">
        <f t="shared" si="55"/>
        <v>2437281.44</v>
      </c>
      <c r="V125" s="159">
        <f>SUM(V104:V124)</f>
        <v>17821061.199999999</v>
      </c>
      <c r="W125" s="159">
        <f t="shared" si="55"/>
        <v>0</v>
      </c>
      <c r="X125" s="159">
        <f t="shared" si="55"/>
        <v>0</v>
      </c>
      <c r="Y125" s="159">
        <f>+Y104+Y105+Y106+Y107+Y108+Y109+Y110+Y112+Y113+Y114+Y116+Y117+Y119+Y120+Y121+Y122+Y123+Y124</f>
        <v>92769893.040000007</v>
      </c>
      <c r="Z125" s="160">
        <f>SUM(Z104:Z124)</f>
        <v>135583468.96000001</v>
      </c>
      <c r="AA125" s="155"/>
    </row>
    <row r="126" spans="1:27" ht="15" customHeight="1" x14ac:dyDescent="0.25">
      <c r="A126" s="168" t="s">
        <v>45</v>
      </c>
      <c r="B126" s="169" t="s">
        <v>46</v>
      </c>
      <c r="C126" s="169">
        <v>1</v>
      </c>
      <c r="D126" s="170">
        <v>150000000</v>
      </c>
      <c r="E126" s="172">
        <v>148000000</v>
      </c>
      <c r="F126" s="172">
        <v>0</v>
      </c>
      <c r="G126" s="172">
        <v>0</v>
      </c>
      <c r="H126" s="172">
        <v>0</v>
      </c>
      <c r="I126" s="172">
        <v>0</v>
      </c>
      <c r="J126" s="172">
        <v>0</v>
      </c>
      <c r="K126" s="172">
        <v>0</v>
      </c>
      <c r="L126" s="172">
        <v>0</v>
      </c>
      <c r="M126" s="172">
        <v>0</v>
      </c>
      <c r="N126" s="172">
        <f>SUM(E126:M126)</f>
        <v>148000000</v>
      </c>
      <c r="O126" s="182"/>
      <c r="P126" s="172">
        <f t="shared" ref="P126:P132" si="56">N126-O126</f>
        <v>148000000</v>
      </c>
      <c r="Q126" s="256"/>
      <c r="R126" s="256"/>
      <c r="S126" s="256"/>
      <c r="T126" s="256"/>
      <c r="U126" s="256"/>
      <c r="V126" s="172"/>
      <c r="W126" s="172"/>
      <c r="X126" s="172"/>
      <c r="Y126" s="182">
        <f>SUM(Q126:X126)</f>
        <v>0</v>
      </c>
      <c r="Z126" s="194">
        <f t="shared" ref="Z126:Z128" si="57">O126-Y126</f>
        <v>0</v>
      </c>
      <c r="AA126" s="155"/>
    </row>
    <row r="127" spans="1:27" ht="15" customHeight="1" x14ac:dyDescent="0.25">
      <c r="A127" s="168" t="s">
        <v>197</v>
      </c>
      <c r="B127" s="169" t="s">
        <v>46</v>
      </c>
      <c r="C127" s="169">
        <v>1</v>
      </c>
      <c r="D127" s="170">
        <v>81837351</v>
      </c>
      <c r="E127" s="172">
        <v>776523896</v>
      </c>
      <c r="F127" s="172">
        <v>0</v>
      </c>
      <c r="G127" s="172"/>
      <c r="H127" s="172">
        <v>0</v>
      </c>
      <c r="I127" s="172">
        <v>0</v>
      </c>
      <c r="J127" s="172">
        <v>0</v>
      </c>
      <c r="K127" s="172">
        <v>0</v>
      </c>
      <c r="L127" s="172">
        <v>0</v>
      </c>
      <c r="M127" s="172">
        <v>0</v>
      </c>
      <c r="N127" s="172">
        <f>SUM(E127:M127)</f>
        <v>776523896</v>
      </c>
      <c r="O127" s="172"/>
      <c r="P127" s="172">
        <f>+N127-O128</f>
        <v>0</v>
      </c>
      <c r="Q127" s="256">
        <v>0</v>
      </c>
      <c r="R127" s="256">
        <v>0</v>
      </c>
      <c r="S127" s="256"/>
      <c r="T127" s="256"/>
      <c r="U127" s="256"/>
      <c r="V127" s="172">
        <v>0</v>
      </c>
      <c r="W127" s="172">
        <v>0</v>
      </c>
      <c r="X127" s="172">
        <v>0</v>
      </c>
      <c r="Y127" s="182">
        <f t="shared" ref="Y127:Y128" si="58">SUM(Q127:X127)</f>
        <v>0</v>
      </c>
      <c r="Z127" s="194">
        <f t="shared" si="57"/>
        <v>0</v>
      </c>
      <c r="AA127" s="155"/>
    </row>
    <row r="128" spans="1:27" ht="15" customHeight="1" x14ac:dyDescent="0.25">
      <c r="A128" s="94" t="s">
        <v>196</v>
      </c>
      <c r="B128" s="169"/>
      <c r="C128" s="169"/>
      <c r="D128" s="170"/>
      <c r="E128" s="172">
        <v>776523896</v>
      </c>
      <c r="F128" s="172"/>
      <c r="G128" s="172"/>
      <c r="H128" s="172"/>
      <c r="I128" s="172"/>
      <c r="J128" s="172"/>
      <c r="K128" s="172"/>
      <c r="L128" s="172"/>
      <c r="M128" s="172"/>
      <c r="N128" s="172"/>
      <c r="O128" s="172">
        <v>776523896</v>
      </c>
      <c r="P128" s="172"/>
      <c r="Q128" s="256"/>
      <c r="R128" s="256"/>
      <c r="S128" s="256">
        <f>+(12368738*94%)</f>
        <v>11626613.719999999</v>
      </c>
      <c r="T128" s="256">
        <f>+(64193115*94%)</f>
        <v>60341528.099999994</v>
      </c>
      <c r="U128" s="256">
        <f>+(146115757*94%)</f>
        <v>137348811.57999998</v>
      </c>
      <c r="V128" s="256">
        <f>+(99858064*94%)</f>
        <v>93866580.159999996</v>
      </c>
      <c r="W128" s="172"/>
      <c r="X128" s="172"/>
      <c r="Y128" s="182">
        <f t="shared" si="58"/>
        <v>303183533.55999994</v>
      </c>
      <c r="Z128" s="194">
        <f t="shared" si="57"/>
        <v>473340362.44000006</v>
      </c>
      <c r="AA128" s="155"/>
    </row>
    <row r="129" spans="1:28" ht="15" customHeight="1" x14ac:dyDescent="0.25">
      <c r="A129" s="156" t="s">
        <v>21</v>
      </c>
      <c r="B129" s="202"/>
      <c r="C129" s="202"/>
      <c r="D129" s="203"/>
      <c r="E129" s="159">
        <f>SUM(E126:E127)</f>
        <v>924523896</v>
      </c>
      <c r="F129" s="159">
        <f>SUM(F126:F127)</f>
        <v>0</v>
      </c>
      <c r="G129" s="159"/>
      <c r="H129" s="159">
        <f>SUM(H126:H127)</f>
        <v>0</v>
      </c>
      <c r="I129" s="159">
        <f>SUM(I126:I127)</f>
        <v>0</v>
      </c>
      <c r="J129" s="159"/>
      <c r="K129" s="159"/>
      <c r="L129" s="159"/>
      <c r="M129" s="159" t="e">
        <f>+#REF!+#REF!+M126</f>
        <v>#REF!</v>
      </c>
      <c r="N129" s="159">
        <f>SUM(N126:N127)</f>
        <v>924523896</v>
      </c>
      <c r="O129" s="159">
        <f>+O126+O128</f>
        <v>776523896</v>
      </c>
      <c r="P129" s="159">
        <f>N129-O129</f>
        <v>148000000</v>
      </c>
      <c r="Q129" s="261">
        <f t="shared" ref="Q129:Z129" si="59">SUM(Q126:Q128)</f>
        <v>0</v>
      </c>
      <c r="R129" s="261">
        <f t="shared" si="59"/>
        <v>0</v>
      </c>
      <c r="S129" s="261">
        <f t="shared" si="59"/>
        <v>11626613.719999999</v>
      </c>
      <c r="T129" s="261">
        <f t="shared" si="59"/>
        <v>60341528.099999994</v>
      </c>
      <c r="U129" s="261">
        <f t="shared" si="59"/>
        <v>137348811.57999998</v>
      </c>
      <c r="V129" s="159">
        <f t="shared" si="59"/>
        <v>93866580.159999996</v>
      </c>
      <c r="W129" s="159">
        <f t="shared" si="59"/>
        <v>0</v>
      </c>
      <c r="X129" s="159">
        <f t="shared" si="59"/>
        <v>0</v>
      </c>
      <c r="Y129" s="159">
        <f t="shared" si="59"/>
        <v>303183533.55999994</v>
      </c>
      <c r="Z129" s="195">
        <f t="shared" si="59"/>
        <v>473340362.44000006</v>
      </c>
      <c r="AA129" s="155"/>
    </row>
    <row r="130" spans="1:28" ht="15" customHeight="1" x14ac:dyDescent="0.25">
      <c r="A130" s="191" t="s">
        <v>23</v>
      </c>
      <c r="B130" s="180" t="s">
        <v>46</v>
      </c>
      <c r="C130" s="180">
        <v>1</v>
      </c>
      <c r="D130" s="181">
        <v>114348000</v>
      </c>
      <c r="E130" s="182">
        <v>80348000</v>
      </c>
      <c r="F130" s="182">
        <v>0</v>
      </c>
      <c r="G130" s="182">
        <v>0</v>
      </c>
      <c r="H130" s="182"/>
      <c r="I130" s="182">
        <v>0</v>
      </c>
      <c r="J130" s="182">
        <v>0</v>
      </c>
      <c r="K130" s="182">
        <v>0</v>
      </c>
      <c r="L130" s="182"/>
      <c r="M130" s="182">
        <v>0</v>
      </c>
      <c r="N130" s="182">
        <f>SUM(E130:M130)</f>
        <v>80348000</v>
      </c>
      <c r="O130" s="182"/>
      <c r="P130" s="182">
        <f>+N130-O131</f>
        <v>0</v>
      </c>
      <c r="Q130" s="257">
        <f>+Q131</f>
        <v>0</v>
      </c>
      <c r="R130" s="257">
        <f>+R131</f>
        <v>0</v>
      </c>
      <c r="S130" s="257">
        <f t="shared" ref="S130:X130" si="60">+S131</f>
        <v>0</v>
      </c>
      <c r="T130" s="257">
        <f t="shared" si="60"/>
        <v>0</v>
      </c>
      <c r="U130" s="257"/>
      <c r="V130" s="182"/>
      <c r="W130" s="182">
        <f t="shared" si="60"/>
        <v>0</v>
      </c>
      <c r="X130" s="182">
        <f t="shared" si="60"/>
        <v>0</v>
      </c>
      <c r="Y130" s="182">
        <f>SUM(Q130:X130)</f>
        <v>0</v>
      </c>
      <c r="Z130" s="194">
        <f>O130-Y130</f>
        <v>0</v>
      </c>
      <c r="AA130" s="155"/>
    </row>
    <row r="131" spans="1:28" ht="15" customHeight="1" x14ac:dyDescent="0.25">
      <c r="A131" s="94" t="s">
        <v>226</v>
      </c>
      <c r="B131" s="177"/>
      <c r="C131" s="177"/>
      <c r="D131" s="171"/>
      <c r="E131" s="173">
        <v>80348000</v>
      </c>
      <c r="F131" s="173"/>
      <c r="G131" s="173"/>
      <c r="H131" s="173"/>
      <c r="I131" s="173"/>
      <c r="J131" s="173"/>
      <c r="K131" s="173"/>
      <c r="L131" s="173"/>
      <c r="M131" s="173"/>
      <c r="N131" s="173"/>
      <c r="O131" s="173">
        <v>80348000</v>
      </c>
      <c r="P131" s="173"/>
      <c r="Q131" s="256"/>
      <c r="R131" s="256"/>
      <c r="S131" s="256"/>
      <c r="T131" s="256"/>
      <c r="U131" s="256">
        <v>36995760</v>
      </c>
      <c r="V131" s="108">
        <v>18064250</v>
      </c>
      <c r="W131" s="172"/>
      <c r="X131" s="172"/>
      <c r="Y131" s="182">
        <f>SUM(Q131:X131)</f>
        <v>55060010</v>
      </c>
      <c r="Z131" s="194">
        <f>O131-Y131</f>
        <v>25287990</v>
      </c>
      <c r="AA131" s="155"/>
    </row>
    <row r="132" spans="1:28" ht="15" customHeight="1" x14ac:dyDescent="0.25">
      <c r="A132" s="156" t="s">
        <v>24</v>
      </c>
      <c r="B132" s="202"/>
      <c r="C132" s="202"/>
      <c r="D132" s="203"/>
      <c r="E132" s="159">
        <f>+E130</f>
        <v>80348000</v>
      </c>
      <c r="F132" s="159">
        <f t="shared" ref="F132:N132" si="61">+F130</f>
        <v>0</v>
      </c>
      <c r="G132" s="159">
        <f t="shared" si="61"/>
        <v>0</v>
      </c>
      <c r="H132" s="159">
        <f t="shared" si="61"/>
        <v>0</v>
      </c>
      <c r="I132" s="159">
        <f t="shared" si="61"/>
        <v>0</v>
      </c>
      <c r="J132" s="159">
        <f t="shared" si="61"/>
        <v>0</v>
      </c>
      <c r="K132" s="159">
        <f t="shared" si="61"/>
        <v>0</v>
      </c>
      <c r="L132" s="159">
        <f t="shared" si="61"/>
        <v>0</v>
      </c>
      <c r="M132" s="159">
        <f t="shared" si="61"/>
        <v>0</v>
      </c>
      <c r="N132" s="159">
        <f t="shared" si="61"/>
        <v>80348000</v>
      </c>
      <c r="O132" s="159">
        <f>+O130+O131</f>
        <v>80348000</v>
      </c>
      <c r="P132" s="159">
        <f t="shared" si="56"/>
        <v>0</v>
      </c>
      <c r="Q132" s="261">
        <f>+Q131</f>
        <v>0</v>
      </c>
      <c r="R132" s="261">
        <f t="shared" ref="R132:Y132" si="62">+R131</f>
        <v>0</v>
      </c>
      <c r="S132" s="261">
        <f t="shared" si="62"/>
        <v>0</v>
      </c>
      <c r="T132" s="261">
        <f t="shared" si="62"/>
        <v>0</v>
      </c>
      <c r="U132" s="261">
        <f t="shared" si="62"/>
        <v>36995760</v>
      </c>
      <c r="V132" s="159">
        <f t="shared" si="62"/>
        <v>18064250</v>
      </c>
      <c r="W132" s="159">
        <f t="shared" si="62"/>
        <v>0</v>
      </c>
      <c r="X132" s="159">
        <f t="shared" si="62"/>
        <v>0</v>
      </c>
      <c r="Y132" s="159">
        <f t="shared" si="62"/>
        <v>55060010</v>
      </c>
      <c r="Z132" s="195">
        <f>SUM(Z130:Z131)</f>
        <v>25287990</v>
      </c>
      <c r="AA132" s="155"/>
    </row>
    <row r="133" spans="1:28" s="137" customFormat="1" ht="15" customHeight="1" x14ac:dyDescent="0.25">
      <c r="A133" s="191" t="s">
        <v>111</v>
      </c>
      <c r="B133" s="180">
        <v>401</v>
      </c>
      <c r="C133" s="180">
        <v>10</v>
      </c>
      <c r="D133" s="181">
        <v>3500</v>
      </c>
      <c r="E133" s="182">
        <v>13177500</v>
      </c>
      <c r="F133" s="182">
        <v>0</v>
      </c>
      <c r="G133" s="182">
        <v>0</v>
      </c>
      <c r="H133" s="182">
        <v>0</v>
      </c>
      <c r="I133" s="182">
        <v>0</v>
      </c>
      <c r="J133" s="182">
        <v>0</v>
      </c>
      <c r="K133" s="182">
        <v>0</v>
      </c>
      <c r="L133" s="182">
        <v>0</v>
      </c>
      <c r="M133" s="182">
        <v>0</v>
      </c>
      <c r="N133" s="182">
        <f>SUM(E133:M133)</f>
        <v>13177500</v>
      </c>
      <c r="O133" s="182">
        <f>Y133</f>
        <v>4625740</v>
      </c>
      <c r="P133" s="182">
        <f>N133-O133</f>
        <v>8551760</v>
      </c>
      <c r="Q133" s="257">
        <f>112000*94%</f>
        <v>105280</v>
      </c>
      <c r="R133" s="257">
        <f>(119000+119000)*94%</f>
        <v>223720</v>
      </c>
      <c r="S133" s="257">
        <f>(304500)*94%</f>
        <v>286230</v>
      </c>
      <c r="T133" s="257"/>
      <c r="U133" s="257">
        <f>(1431500+367500+931000+122500)*94%</f>
        <v>2681350</v>
      </c>
      <c r="V133" s="257">
        <f>(1414000)*94%</f>
        <v>1329160</v>
      </c>
      <c r="W133" s="182">
        <v>0</v>
      </c>
      <c r="X133" s="182">
        <v>0</v>
      </c>
      <c r="Y133" s="182">
        <f>SUM(Q133:X133)</f>
        <v>4625740</v>
      </c>
      <c r="Z133" s="204">
        <f>O133-Y133</f>
        <v>0</v>
      </c>
      <c r="AA133" s="186"/>
    </row>
    <row r="134" spans="1:28" s="137" customFormat="1" ht="15" customHeight="1" x14ac:dyDescent="0.25">
      <c r="A134" s="191" t="s">
        <v>49</v>
      </c>
      <c r="B134" s="180"/>
      <c r="C134" s="180"/>
      <c r="D134" s="181"/>
      <c r="E134" s="182">
        <v>22442615</v>
      </c>
      <c r="F134" s="182"/>
      <c r="G134" s="182"/>
      <c r="H134" s="182"/>
      <c r="I134" s="182"/>
      <c r="J134" s="182"/>
      <c r="K134" s="182"/>
      <c r="L134" s="182"/>
      <c r="M134" s="182"/>
      <c r="N134" s="182">
        <f>SUM(E134:M134)</f>
        <v>22442615</v>
      </c>
      <c r="O134" s="182">
        <f>Y134</f>
        <v>3137851.1639999999</v>
      </c>
      <c r="P134" s="182">
        <f>N134-O134</f>
        <v>19304763.835999999</v>
      </c>
      <c r="Q134" s="257"/>
      <c r="R134" s="257">
        <f>784462791*4/1000</f>
        <v>3137851.1639999999</v>
      </c>
      <c r="S134" s="257"/>
      <c r="T134" s="257"/>
      <c r="U134" s="257"/>
      <c r="V134" s="182"/>
      <c r="W134" s="182"/>
      <c r="X134" s="182"/>
      <c r="Y134" s="182">
        <f>SUM(Q134:X134)</f>
        <v>3137851.1639999999</v>
      </c>
      <c r="Z134" s="204">
        <f>O134-Y134</f>
        <v>0</v>
      </c>
      <c r="AA134" s="186"/>
    </row>
    <row r="135" spans="1:28" ht="15" customHeight="1" x14ac:dyDescent="0.25">
      <c r="A135" s="156" t="s">
        <v>25</v>
      </c>
      <c r="B135" s="202"/>
      <c r="C135" s="202"/>
      <c r="D135" s="203"/>
      <c r="E135" s="159">
        <f>+E133+E134</f>
        <v>35620115</v>
      </c>
      <c r="F135" s="159">
        <f>+F133</f>
        <v>0</v>
      </c>
      <c r="G135" s="159"/>
      <c r="H135" s="159">
        <f>+H133</f>
        <v>0</v>
      </c>
      <c r="I135" s="159">
        <f>+I133</f>
        <v>0</v>
      </c>
      <c r="J135" s="159"/>
      <c r="K135" s="159">
        <f>+K123+K125+K130+K132</f>
        <v>0</v>
      </c>
      <c r="L135" s="159">
        <f>+L133</f>
        <v>0</v>
      </c>
      <c r="M135" s="159" t="e">
        <f>+M123+M125+#REF!+M130+M132</f>
        <v>#REF!</v>
      </c>
      <c r="N135" s="159">
        <f>+N133+N134</f>
        <v>35620115</v>
      </c>
      <c r="O135" s="159">
        <f>+O133+O134</f>
        <v>7763591.1639999999</v>
      </c>
      <c r="P135" s="159">
        <f>+P133+P134</f>
        <v>27856523.835999999</v>
      </c>
      <c r="Q135" s="261">
        <f>+Q133+Q134</f>
        <v>105280</v>
      </c>
      <c r="R135" s="261">
        <f t="shared" ref="R135:X135" si="63">+R133+R134</f>
        <v>3361571.1639999999</v>
      </c>
      <c r="S135" s="261">
        <f t="shared" si="63"/>
        <v>286230</v>
      </c>
      <c r="T135" s="261">
        <f t="shared" si="63"/>
        <v>0</v>
      </c>
      <c r="U135" s="261">
        <f t="shared" si="63"/>
        <v>2681350</v>
      </c>
      <c r="V135" s="159">
        <f t="shared" si="63"/>
        <v>1329160</v>
      </c>
      <c r="W135" s="159">
        <f t="shared" si="63"/>
        <v>0</v>
      </c>
      <c r="X135" s="159">
        <f t="shared" si="63"/>
        <v>0</v>
      </c>
      <c r="Y135" s="159">
        <f>SUM(Y133:Y134)</f>
        <v>7763591.1639999999</v>
      </c>
      <c r="Z135" s="195">
        <f>SUM(Z133:Z134)</f>
        <v>0</v>
      </c>
      <c r="AA135" s="155"/>
    </row>
    <row r="136" spans="1:28" ht="15" customHeight="1" x14ac:dyDescent="0.25">
      <c r="A136" s="156" t="s">
        <v>102</v>
      </c>
      <c r="B136" s="202"/>
      <c r="C136" s="202"/>
      <c r="D136" s="203"/>
      <c r="E136" s="159">
        <f>E28+E102+E125+E129+E132+E135+E210</f>
        <v>5061050262.132</v>
      </c>
      <c r="F136" s="159">
        <f>F28+F102+F125+F129+F132+F135</f>
        <v>252150000</v>
      </c>
      <c r="G136" s="159"/>
      <c r="H136" s="159">
        <v>0</v>
      </c>
      <c r="I136" s="159">
        <v>0</v>
      </c>
      <c r="J136" s="159"/>
      <c r="K136" s="159">
        <f>K19+K22+K104+K111+K135</f>
        <v>0</v>
      </c>
      <c r="L136" s="159">
        <f>L19+L22+L104+L111+L135</f>
        <v>0</v>
      </c>
      <c r="M136" s="159"/>
      <c r="N136" s="159">
        <f>N28+N102+N125+N129+N132+N135</f>
        <v>5313200262.132</v>
      </c>
      <c r="O136" s="159">
        <f>O28+O102+O125+O129+O132+O135</f>
        <v>2581807149.164</v>
      </c>
      <c r="P136" s="159">
        <f>P28+P102+P125+P129+P132+P135</f>
        <v>2731393112.9679999</v>
      </c>
      <c r="Q136" s="261">
        <f>+Q135+Q132+Q103+Q129+Q125</f>
        <v>50076880.25</v>
      </c>
      <c r="R136" s="261">
        <f t="shared" ref="R136:U136" si="64">+R135+R132+R103+R129+R125</f>
        <v>54263871.163999997</v>
      </c>
      <c r="S136" s="261">
        <f t="shared" si="64"/>
        <v>80581143.719999999</v>
      </c>
      <c r="T136" s="261">
        <f t="shared" si="64"/>
        <v>240039478.5</v>
      </c>
      <c r="U136" s="261">
        <f t="shared" si="64"/>
        <v>478659333.01999998</v>
      </c>
      <c r="V136" s="159">
        <f t="shared" ref="V136:X136" si="65">+V135+V132+V103+V129+V125</f>
        <v>444224751.35999995</v>
      </c>
      <c r="W136" s="159">
        <f t="shared" si="65"/>
        <v>0</v>
      </c>
      <c r="X136" s="159">
        <f t="shared" si="65"/>
        <v>0</v>
      </c>
      <c r="Y136" s="159">
        <f t="shared" ref="Y136" si="66">Y28+Y102+Y125+Y129+Y132+Y135</f>
        <v>1347845458.0139999</v>
      </c>
      <c r="Z136" s="195">
        <f>+Z135+Z132+Z129+Z125+Z103</f>
        <v>1233961691.1500001</v>
      </c>
      <c r="AA136" s="155"/>
      <c r="AB136" s="155"/>
    </row>
    <row r="137" spans="1:28" ht="15" customHeight="1" x14ac:dyDescent="0.25">
      <c r="A137" s="205" t="s">
        <v>99</v>
      </c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64"/>
      <c r="R137" s="264"/>
      <c r="S137" s="264"/>
      <c r="T137" s="264"/>
      <c r="U137" s="264"/>
      <c r="V137" s="206"/>
      <c r="W137" s="206"/>
      <c r="X137" s="206"/>
      <c r="Y137" s="206"/>
      <c r="Z137" s="207"/>
      <c r="AA137" s="155"/>
    </row>
    <row r="138" spans="1:28" s="137" customFormat="1" x14ac:dyDescent="0.25">
      <c r="A138" s="191" t="s">
        <v>28</v>
      </c>
      <c r="B138" s="180">
        <v>48</v>
      </c>
      <c r="C138" s="180">
        <v>6</v>
      </c>
      <c r="D138" s="181">
        <v>0</v>
      </c>
      <c r="E138" s="182"/>
      <c r="F138" s="182">
        <v>0</v>
      </c>
      <c r="G138" s="182">
        <v>0</v>
      </c>
      <c r="H138" s="182">
        <v>176400000</v>
      </c>
      <c r="I138" s="182"/>
      <c r="J138" s="182">
        <v>0</v>
      </c>
      <c r="K138" s="182"/>
      <c r="L138" s="182">
        <v>0</v>
      </c>
      <c r="M138" s="182">
        <v>0</v>
      </c>
      <c r="N138" s="182">
        <f>SUM(E138:M138)</f>
        <v>176400000</v>
      </c>
      <c r="O138" s="182">
        <f>SUM(Q138:X138)</f>
        <v>39679200</v>
      </c>
      <c r="P138" s="182">
        <f>N138-O138</f>
        <v>136720800</v>
      </c>
      <c r="Q138" s="257">
        <f>10860000*6%</f>
        <v>651600</v>
      </c>
      <c r="R138" s="257">
        <f>(14490000+7080000)*6%</f>
        <v>1294200</v>
      </c>
      <c r="S138" s="257">
        <f>(40470000)*6%</f>
        <v>2428200</v>
      </c>
      <c r="T138" s="257">
        <f>(120720000)*6%</f>
        <v>7243200</v>
      </c>
      <c r="U138" s="257">
        <f>(215730000+120000+13740000+3030000)*6%</f>
        <v>13957200</v>
      </c>
      <c r="V138" s="257">
        <f>(234660000+420000)*6%</f>
        <v>14104800</v>
      </c>
      <c r="W138" s="182">
        <v>0</v>
      </c>
      <c r="X138" s="182">
        <v>0</v>
      </c>
      <c r="Y138" s="182">
        <f>SUM(Q138:X138)</f>
        <v>39679200</v>
      </c>
      <c r="Z138" s="208">
        <f>O138-Y138</f>
        <v>0</v>
      </c>
    </row>
    <row r="139" spans="1:28" x14ac:dyDescent="0.25">
      <c r="A139" s="156" t="s">
        <v>35</v>
      </c>
      <c r="B139" s="202"/>
      <c r="C139" s="202"/>
      <c r="D139" s="203"/>
      <c r="E139" s="159">
        <f t="shared" ref="E139:P139" si="67">+E138</f>
        <v>0</v>
      </c>
      <c r="F139" s="159">
        <f t="shared" si="67"/>
        <v>0</v>
      </c>
      <c r="G139" s="159">
        <f t="shared" si="67"/>
        <v>0</v>
      </c>
      <c r="H139" s="159">
        <f t="shared" si="67"/>
        <v>176400000</v>
      </c>
      <c r="I139" s="159">
        <f t="shared" si="67"/>
        <v>0</v>
      </c>
      <c r="J139" s="159">
        <f t="shared" si="67"/>
        <v>0</v>
      </c>
      <c r="K139" s="159"/>
      <c r="L139" s="159">
        <f t="shared" si="67"/>
        <v>0</v>
      </c>
      <c r="M139" s="159">
        <f t="shared" si="67"/>
        <v>0</v>
      </c>
      <c r="N139" s="159">
        <f>+N138</f>
        <v>176400000</v>
      </c>
      <c r="O139" s="159">
        <f>O138</f>
        <v>39679200</v>
      </c>
      <c r="P139" s="159">
        <f t="shared" si="67"/>
        <v>136720800</v>
      </c>
      <c r="Q139" s="261">
        <f>+Q138</f>
        <v>651600</v>
      </c>
      <c r="R139" s="261">
        <f t="shared" ref="R139:X139" si="68">+R138</f>
        <v>1294200</v>
      </c>
      <c r="S139" s="261">
        <f t="shared" si="68"/>
        <v>2428200</v>
      </c>
      <c r="T139" s="261">
        <f t="shared" si="68"/>
        <v>7243200</v>
      </c>
      <c r="U139" s="261">
        <f t="shared" si="68"/>
        <v>13957200</v>
      </c>
      <c r="V139" s="159">
        <f t="shared" si="68"/>
        <v>14104800</v>
      </c>
      <c r="W139" s="159">
        <f t="shared" si="68"/>
        <v>0</v>
      </c>
      <c r="X139" s="159">
        <f t="shared" si="68"/>
        <v>0</v>
      </c>
      <c r="Y139" s="159">
        <f t="shared" ref="Y139" si="69">+Y138</f>
        <v>39679200</v>
      </c>
      <c r="Z139" s="195">
        <f>O139-Y139</f>
        <v>0</v>
      </c>
    </row>
    <row r="140" spans="1:28" ht="15" customHeight="1" x14ac:dyDescent="0.25">
      <c r="A140" s="161" t="s">
        <v>61</v>
      </c>
      <c r="B140" s="162">
        <v>1</v>
      </c>
      <c r="C140" s="162">
        <v>12</v>
      </c>
      <c r="D140" s="163">
        <v>5300000</v>
      </c>
      <c r="E140" s="163"/>
      <c r="F140" s="165"/>
      <c r="G140" s="165"/>
      <c r="H140" s="166">
        <f>+H141</f>
        <v>16000000</v>
      </c>
      <c r="I140" s="165"/>
      <c r="J140" s="165"/>
      <c r="K140" s="165"/>
      <c r="L140" s="165"/>
      <c r="M140" s="165"/>
      <c r="N140" s="166">
        <f>H140</f>
        <v>16000000</v>
      </c>
      <c r="O140" s="166"/>
      <c r="P140" s="166">
        <f>+N140-O141</f>
        <v>0</v>
      </c>
      <c r="Q140" s="262">
        <f>+Q141</f>
        <v>971666.75</v>
      </c>
      <c r="R140" s="262">
        <f t="shared" ref="R140:X140" si="70">+R141</f>
        <v>1325000</v>
      </c>
      <c r="S140" s="262">
        <f t="shared" si="70"/>
        <v>1325000</v>
      </c>
      <c r="T140" s="262">
        <f t="shared" si="70"/>
        <v>1325000</v>
      </c>
      <c r="U140" s="262">
        <f t="shared" si="70"/>
        <v>1325000</v>
      </c>
      <c r="V140" s="166">
        <f t="shared" si="70"/>
        <v>1325000</v>
      </c>
      <c r="W140" s="166">
        <f t="shared" si="70"/>
        <v>0</v>
      </c>
      <c r="X140" s="166">
        <f t="shared" si="70"/>
        <v>0</v>
      </c>
      <c r="Y140" s="166">
        <f>SUM(Y141)</f>
        <v>7596666.75</v>
      </c>
      <c r="Z140" s="209">
        <f>+Z141</f>
        <v>8403333.25</v>
      </c>
      <c r="AA140" s="155"/>
    </row>
    <row r="141" spans="1:28" ht="15" customHeight="1" x14ac:dyDescent="0.25">
      <c r="A141" s="168" t="s">
        <v>98</v>
      </c>
      <c r="B141" s="169"/>
      <c r="C141" s="169"/>
      <c r="D141" s="170">
        <v>0</v>
      </c>
      <c r="E141" s="170"/>
      <c r="F141" s="172"/>
      <c r="G141" s="172"/>
      <c r="H141" s="173">
        <v>16000000</v>
      </c>
      <c r="I141" s="172"/>
      <c r="J141" s="172"/>
      <c r="K141" s="172"/>
      <c r="L141" s="172"/>
      <c r="M141" s="172"/>
      <c r="N141" s="172"/>
      <c r="O141" s="172">
        <f>H141</f>
        <v>16000000</v>
      </c>
      <c r="P141" s="172"/>
      <c r="Q141" s="258">
        <f>3886667*25%</f>
        <v>971666.75</v>
      </c>
      <c r="R141" s="258">
        <f>5300000*25%</f>
        <v>1325000</v>
      </c>
      <c r="S141" s="258">
        <f>5300000*25%</f>
        <v>1325000</v>
      </c>
      <c r="T141" s="258">
        <f>5300000*25%</f>
        <v>1325000</v>
      </c>
      <c r="U141" s="258">
        <f>5300000*25%</f>
        <v>1325000</v>
      </c>
      <c r="V141" s="258">
        <f>5300000*25%</f>
        <v>1325000</v>
      </c>
      <c r="W141" s="172">
        <v>0</v>
      </c>
      <c r="X141" s="172">
        <v>0</v>
      </c>
      <c r="Y141" s="182">
        <f>SUM(Q141:X141)</f>
        <v>7596666.75</v>
      </c>
      <c r="Z141" s="208">
        <f>O141-Y141</f>
        <v>8403333.25</v>
      </c>
      <c r="AA141" s="155"/>
    </row>
    <row r="142" spans="1:28" ht="15" customHeight="1" x14ac:dyDescent="0.25">
      <c r="A142" s="168"/>
      <c r="B142" s="169"/>
      <c r="C142" s="169"/>
      <c r="D142" s="170"/>
      <c r="E142" s="170"/>
      <c r="F142" s="172"/>
      <c r="G142" s="172"/>
      <c r="H142" s="173"/>
      <c r="I142" s="172"/>
      <c r="J142" s="172"/>
      <c r="K142" s="172"/>
      <c r="L142" s="172"/>
      <c r="M142" s="172"/>
      <c r="N142" s="172"/>
      <c r="O142" s="172"/>
      <c r="P142" s="172"/>
      <c r="Q142" s="256"/>
      <c r="R142" s="256"/>
      <c r="S142" s="256"/>
      <c r="T142" s="256"/>
      <c r="U142" s="256"/>
      <c r="V142" s="172"/>
      <c r="W142" s="172"/>
      <c r="X142" s="172"/>
      <c r="Y142" s="172"/>
      <c r="Z142" s="194"/>
      <c r="AA142" s="155"/>
    </row>
    <row r="143" spans="1:28" ht="15" customHeight="1" x14ac:dyDescent="0.25">
      <c r="A143" s="161" t="s">
        <v>158</v>
      </c>
      <c r="B143" s="162">
        <v>3</v>
      </c>
      <c r="C143" s="162">
        <v>10</v>
      </c>
      <c r="D143" s="163">
        <v>1995000</v>
      </c>
      <c r="E143" s="163"/>
      <c r="F143" s="165"/>
      <c r="G143" s="165"/>
      <c r="H143" s="166">
        <f>(B143*C143*D143)*0.7</f>
        <v>41895000</v>
      </c>
      <c r="I143" s="165"/>
      <c r="J143" s="165"/>
      <c r="K143" s="165"/>
      <c r="L143" s="165"/>
      <c r="M143" s="165"/>
      <c r="N143" s="166">
        <f>H143</f>
        <v>41895000</v>
      </c>
      <c r="O143" s="166">
        <f>SUM(O144:O147)</f>
        <v>41895000</v>
      </c>
      <c r="P143" s="166">
        <f>N143-O143</f>
        <v>0</v>
      </c>
      <c r="Q143" s="262">
        <f t="shared" ref="Q143:Z143" si="71">SUM(Q144:Q147)</f>
        <v>744800</v>
      </c>
      <c r="R143" s="262">
        <f t="shared" si="71"/>
        <v>1396500</v>
      </c>
      <c r="S143" s="262">
        <f t="shared" si="71"/>
        <v>1396500</v>
      </c>
      <c r="T143" s="262">
        <f t="shared" si="71"/>
        <v>3537800</v>
      </c>
      <c r="U143" s="262">
        <f t="shared" si="71"/>
        <v>4236050</v>
      </c>
      <c r="V143" s="166">
        <f>SUM(V144:V147)</f>
        <v>4189500</v>
      </c>
      <c r="W143" s="166">
        <f t="shared" si="71"/>
        <v>0</v>
      </c>
      <c r="X143" s="166">
        <f t="shared" si="71"/>
        <v>0</v>
      </c>
      <c r="Y143" s="166">
        <f t="shared" si="71"/>
        <v>15501150</v>
      </c>
      <c r="Z143" s="166">
        <f t="shared" si="71"/>
        <v>26393850</v>
      </c>
    </row>
    <row r="144" spans="1:28" ht="15" customHeight="1" x14ac:dyDescent="0.25">
      <c r="A144" s="179" t="s">
        <v>189</v>
      </c>
      <c r="B144" s="177">
        <v>1</v>
      </c>
      <c r="C144" s="177">
        <v>4.5</v>
      </c>
      <c r="D144" s="181">
        <v>1995000</v>
      </c>
      <c r="E144" s="171"/>
      <c r="F144" s="173"/>
      <c r="G144" s="173"/>
      <c r="H144" s="181">
        <f>(C144*D144)*70%</f>
        <v>6284250</v>
      </c>
      <c r="I144" s="173"/>
      <c r="J144" s="173"/>
      <c r="K144" s="173"/>
      <c r="L144" s="173"/>
      <c r="M144" s="173"/>
      <c r="N144" s="173"/>
      <c r="O144" s="173">
        <f>H144</f>
        <v>6284250</v>
      </c>
      <c r="P144" s="173"/>
      <c r="Q144" s="256">
        <f>1064000*70%</f>
        <v>744800</v>
      </c>
      <c r="R144" s="256">
        <f>1995000*70%</f>
        <v>1396500</v>
      </c>
      <c r="S144" s="256">
        <f>1995000*70%</f>
        <v>1396500</v>
      </c>
      <c r="T144" s="256">
        <f t="shared" ref="T144" si="72">1995000*70%</f>
        <v>1396500</v>
      </c>
      <c r="U144" s="256">
        <f>1928500*70%</f>
        <v>1349950</v>
      </c>
      <c r="V144" s="172">
        <v>0</v>
      </c>
      <c r="W144" s="172">
        <v>0</v>
      </c>
      <c r="X144" s="172">
        <v>0</v>
      </c>
      <c r="Y144" s="182">
        <f>SUM(Q144:X144)</f>
        <v>6284250</v>
      </c>
      <c r="Z144" s="208">
        <f>O144-Y144</f>
        <v>0</v>
      </c>
    </row>
    <row r="145" spans="1:27" ht="15" customHeight="1" x14ac:dyDescent="0.25">
      <c r="A145" s="179" t="s">
        <v>214</v>
      </c>
      <c r="B145" s="177"/>
      <c r="C145" s="177">
        <v>7.5</v>
      </c>
      <c r="D145" s="181">
        <v>1995000</v>
      </c>
      <c r="E145" s="171"/>
      <c r="F145" s="173"/>
      <c r="G145" s="173"/>
      <c r="H145" s="181">
        <f t="shared" ref="H145:H147" si="73">(C145*D145)*70%</f>
        <v>10473750</v>
      </c>
      <c r="I145" s="173"/>
      <c r="J145" s="173"/>
      <c r="K145" s="173"/>
      <c r="L145" s="173"/>
      <c r="M145" s="173"/>
      <c r="N145" s="173"/>
      <c r="O145" s="173">
        <f t="shared" ref="O145:O147" si="74">H145</f>
        <v>10473750</v>
      </c>
      <c r="P145" s="173"/>
      <c r="Q145" s="256"/>
      <c r="R145" s="256"/>
      <c r="S145" s="256"/>
      <c r="T145" s="256"/>
      <c r="U145" s="256">
        <f>133000*70%</f>
        <v>93100</v>
      </c>
      <c r="V145" s="172">
        <f>1995000*70%</f>
        <v>1396500</v>
      </c>
      <c r="W145" s="172"/>
      <c r="X145" s="172"/>
      <c r="Y145" s="182">
        <f>SUM(Q145:X145)</f>
        <v>1489600</v>
      </c>
      <c r="Z145" s="208">
        <f>O145-Y145</f>
        <v>8984150</v>
      </c>
    </row>
    <row r="146" spans="1:27" ht="15" customHeight="1" x14ac:dyDescent="0.25">
      <c r="A146" s="179" t="s">
        <v>166</v>
      </c>
      <c r="B146" s="177">
        <v>1</v>
      </c>
      <c r="C146" s="177">
        <v>9</v>
      </c>
      <c r="D146" s="181">
        <v>1995000</v>
      </c>
      <c r="E146" s="171"/>
      <c r="F146" s="173"/>
      <c r="G146" s="173"/>
      <c r="H146" s="181">
        <f>(C146*D146)*70%</f>
        <v>12568500</v>
      </c>
      <c r="I146" s="173"/>
      <c r="J146" s="173"/>
      <c r="K146" s="173"/>
      <c r="L146" s="173"/>
      <c r="M146" s="173"/>
      <c r="N146" s="173"/>
      <c r="O146" s="173">
        <f t="shared" si="74"/>
        <v>12568500</v>
      </c>
      <c r="P146" s="173"/>
      <c r="Q146" s="256"/>
      <c r="R146" s="256"/>
      <c r="S146" s="256"/>
      <c r="T146" s="256">
        <f>1529500*70%</f>
        <v>1070650</v>
      </c>
      <c r="U146" s="256">
        <f>1995000*70%</f>
        <v>1396500</v>
      </c>
      <c r="V146" s="172">
        <f t="shared" ref="V146:V147" si="75">1995000*70%</f>
        <v>1396500</v>
      </c>
      <c r="W146" s="172">
        <v>0</v>
      </c>
      <c r="X146" s="172">
        <v>0</v>
      </c>
      <c r="Y146" s="182">
        <f>SUM(Q146:X146)</f>
        <v>3863650</v>
      </c>
      <c r="Z146" s="208">
        <f>O146-Y146</f>
        <v>8704850</v>
      </c>
    </row>
    <row r="147" spans="1:27" ht="15" customHeight="1" x14ac:dyDescent="0.25">
      <c r="A147" s="179" t="s">
        <v>167</v>
      </c>
      <c r="B147" s="177">
        <v>1</v>
      </c>
      <c r="C147" s="177">
        <v>9</v>
      </c>
      <c r="D147" s="181">
        <v>1995000</v>
      </c>
      <c r="E147" s="171"/>
      <c r="F147" s="173"/>
      <c r="G147" s="173"/>
      <c r="H147" s="181">
        <f t="shared" si="73"/>
        <v>12568500</v>
      </c>
      <c r="I147" s="173"/>
      <c r="J147" s="173"/>
      <c r="K147" s="173"/>
      <c r="L147" s="173"/>
      <c r="M147" s="173"/>
      <c r="N147" s="173"/>
      <c r="O147" s="173">
        <f t="shared" si="74"/>
        <v>12568500</v>
      </c>
      <c r="P147" s="173"/>
      <c r="Q147" s="256"/>
      <c r="R147" s="256"/>
      <c r="S147" s="256"/>
      <c r="T147" s="256">
        <f>1529500*70%</f>
        <v>1070650</v>
      </c>
      <c r="U147" s="256">
        <f>1995000*70%</f>
        <v>1396500</v>
      </c>
      <c r="V147" s="172">
        <f t="shared" si="75"/>
        <v>1396500</v>
      </c>
      <c r="W147" s="172"/>
      <c r="X147" s="172"/>
      <c r="Y147" s="182">
        <f>SUM(Q147:X147)</f>
        <v>3863650</v>
      </c>
      <c r="Z147" s="208">
        <f>O147-Y147</f>
        <v>8704850</v>
      </c>
    </row>
    <row r="148" spans="1:27" ht="15" customHeight="1" x14ac:dyDescent="0.25">
      <c r="A148" s="168"/>
      <c r="B148" s="177"/>
      <c r="C148" s="177"/>
      <c r="D148" s="171"/>
      <c r="E148" s="171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256"/>
      <c r="R148" s="256"/>
      <c r="S148" s="256"/>
      <c r="T148" s="256"/>
      <c r="U148" s="256"/>
      <c r="V148" s="172"/>
      <c r="W148" s="172"/>
      <c r="X148" s="172"/>
      <c r="Y148" s="182"/>
      <c r="Z148" s="208"/>
    </row>
    <row r="149" spans="1:27" ht="15" customHeight="1" x14ac:dyDescent="0.25">
      <c r="A149" s="161" t="s">
        <v>156</v>
      </c>
      <c r="B149" s="162">
        <v>4</v>
      </c>
      <c r="C149" s="162">
        <v>9</v>
      </c>
      <c r="D149" s="163">
        <v>1995000</v>
      </c>
      <c r="E149" s="163">
        <v>0</v>
      </c>
      <c r="F149" s="165">
        <v>0</v>
      </c>
      <c r="G149" s="165">
        <v>0</v>
      </c>
      <c r="H149" s="166">
        <v>31920000</v>
      </c>
      <c r="I149" s="165">
        <v>0</v>
      </c>
      <c r="J149" s="165">
        <v>0</v>
      </c>
      <c r="K149" s="165">
        <v>0</v>
      </c>
      <c r="L149" s="165"/>
      <c r="M149" s="165">
        <v>0</v>
      </c>
      <c r="N149" s="166">
        <f>SUM(E149:M149)</f>
        <v>31920000</v>
      </c>
      <c r="O149" s="166">
        <f>SUM(O150:O153)</f>
        <v>31920000</v>
      </c>
      <c r="P149" s="166">
        <f>N149-O149</f>
        <v>0</v>
      </c>
      <c r="Q149" s="265">
        <f>+Q164</f>
        <v>0</v>
      </c>
      <c r="R149" s="265">
        <f>+R164</f>
        <v>0</v>
      </c>
      <c r="S149" s="265">
        <v>0</v>
      </c>
      <c r="T149" s="262">
        <f>+T150+T151+T152+T153</f>
        <v>1141140</v>
      </c>
      <c r="U149" s="262">
        <f>+U150+U151+U152+U153</f>
        <v>2750440</v>
      </c>
      <c r="V149" s="166">
        <f>+V150+V151+V152+V153</f>
        <v>3511200</v>
      </c>
      <c r="W149" s="165">
        <f>+W144+W146</f>
        <v>0</v>
      </c>
      <c r="X149" s="165">
        <f>+X144+X146</f>
        <v>0</v>
      </c>
      <c r="Y149" s="166">
        <f>SUM(Y150:Y153)</f>
        <v>7402780</v>
      </c>
      <c r="Z149" s="209">
        <f>SUM(Z150:Z153)</f>
        <v>24517220</v>
      </c>
    </row>
    <row r="150" spans="1:27" s="137" customFormat="1" ht="15" customHeight="1" x14ac:dyDescent="0.25">
      <c r="A150" s="188" t="s">
        <v>179</v>
      </c>
      <c r="B150" s="180">
        <v>1</v>
      </c>
      <c r="C150" s="180">
        <v>9</v>
      </c>
      <c r="D150" s="181">
        <v>1995000</v>
      </c>
      <c r="E150" s="181"/>
      <c r="F150" s="182"/>
      <c r="G150" s="182"/>
      <c r="H150" s="182">
        <v>7980000</v>
      </c>
      <c r="I150" s="182"/>
      <c r="J150" s="182"/>
      <c r="K150" s="182"/>
      <c r="L150" s="182"/>
      <c r="M150" s="182"/>
      <c r="N150" s="189"/>
      <c r="O150" s="173">
        <f t="shared" ref="O150:O153" si="76">H150</f>
        <v>7980000</v>
      </c>
      <c r="P150" s="189"/>
      <c r="Q150" s="257"/>
      <c r="R150" s="257"/>
      <c r="S150" s="257"/>
      <c r="T150" s="257">
        <f>(1263500*44%)</f>
        <v>555940</v>
      </c>
      <c r="U150" s="257">
        <f>(1995000*44%)</f>
        <v>877800</v>
      </c>
      <c r="V150" s="182">
        <f>1995000*44%</f>
        <v>877800</v>
      </c>
      <c r="W150" s="182"/>
      <c r="X150" s="182"/>
      <c r="Y150" s="182">
        <f>SUM(Q150:X150)</f>
        <v>2311540</v>
      </c>
      <c r="Z150" s="208">
        <f>O150-Y150</f>
        <v>5668460</v>
      </c>
    </row>
    <row r="151" spans="1:27" s="137" customFormat="1" ht="15" customHeight="1" x14ac:dyDescent="0.25">
      <c r="A151" s="188" t="s">
        <v>180</v>
      </c>
      <c r="B151" s="180">
        <v>1</v>
      </c>
      <c r="C151" s="180">
        <v>9</v>
      </c>
      <c r="D151" s="181">
        <v>1995000</v>
      </c>
      <c r="E151" s="181"/>
      <c r="F151" s="182"/>
      <c r="G151" s="182"/>
      <c r="H151" s="182">
        <v>7980000</v>
      </c>
      <c r="I151" s="182"/>
      <c r="J151" s="182"/>
      <c r="K151" s="182"/>
      <c r="L151" s="182"/>
      <c r="M151" s="182"/>
      <c r="N151" s="189"/>
      <c r="O151" s="173">
        <f t="shared" si="76"/>
        <v>7980000</v>
      </c>
      <c r="P151" s="189"/>
      <c r="Q151" s="257"/>
      <c r="R151" s="257"/>
      <c r="S151" s="257"/>
      <c r="T151" s="257">
        <f>(731500*44%)</f>
        <v>321860</v>
      </c>
      <c r="U151" s="257">
        <f t="shared" ref="U151:U152" si="77">(1995000*44%)</f>
        <v>877800</v>
      </c>
      <c r="V151" s="182">
        <f t="shared" ref="V151:V153" si="78">1995000*44%</f>
        <v>877800</v>
      </c>
      <c r="W151" s="182"/>
      <c r="X151" s="182"/>
      <c r="Y151" s="182">
        <f>SUM(Q151:X151)</f>
        <v>2077460</v>
      </c>
      <c r="Z151" s="208">
        <f>O151-Y151</f>
        <v>5902540</v>
      </c>
    </row>
    <row r="152" spans="1:27" s="137" customFormat="1" ht="15" customHeight="1" x14ac:dyDescent="0.25">
      <c r="A152" s="188" t="s">
        <v>181</v>
      </c>
      <c r="B152" s="180">
        <v>1</v>
      </c>
      <c r="C152" s="180">
        <v>9</v>
      </c>
      <c r="D152" s="181">
        <v>1995000</v>
      </c>
      <c r="E152" s="181"/>
      <c r="F152" s="182"/>
      <c r="G152" s="182"/>
      <c r="H152" s="182">
        <v>7980000</v>
      </c>
      <c r="I152" s="182"/>
      <c r="J152" s="182"/>
      <c r="K152" s="182"/>
      <c r="L152" s="182"/>
      <c r="M152" s="182"/>
      <c r="N152" s="189"/>
      <c r="O152" s="173">
        <f t="shared" si="76"/>
        <v>7980000</v>
      </c>
      <c r="P152" s="189"/>
      <c r="Q152" s="257"/>
      <c r="R152" s="257"/>
      <c r="S152" s="257"/>
      <c r="T152" s="257">
        <f>(598500*44%)</f>
        <v>263340</v>
      </c>
      <c r="U152" s="257">
        <f t="shared" si="77"/>
        <v>877800</v>
      </c>
      <c r="V152" s="182">
        <f t="shared" si="78"/>
        <v>877800</v>
      </c>
      <c r="W152" s="182"/>
      <c r="X152" s="182"/>
      <c r="Y152" s="182">
        <f>SUM(Q152:X152)</f>
        <v>2018940</v>
      </c>
      <c r="Z152" s="208">
        <f>O152-Y152</f>
        <v>5961060</v>
      </c>
    </row>
    <row r="153" spans="1:27" s="137" customFormat="1" ht="15" customHeight="1" x14ac:dyDescent="0.25">
      <c r="A153" s="191" t="s">
        <v>220</v>
      </c>
      <c r="B153" s="180">
        <v>1</v>
      </c>
      <c r="C153" s="180">
        <v>9</v>
      </c>
      <c r="D153" s="181">
        <v>1995000</v>
      </c>
      <c r="E153" s="181"/>
      <c r="F153" s="182"/>
      <c r="G153" s="182"/>
      <c r="H153" s="182">
        <v>7980000</v>
      </c>
      <c r="I153" s="182"/>
      <c r="J153" s="182"/>
      <c r="K153" s="182"/>
      <c r="L153" s="182"/>
      <c r="M153" s="182"/>
      <c r="N153" s="189"/>
      <c r="O153" s="173">
        <f t="shared" si="76"/>
        <v>7980000</v>
      </c>
      <c r="P153" s="189"/>
      <c r="Q153" s="257"/>
      <c r="R153" s="257"/>
      <c r="S153" s="257"/>
      <c r="T153" s="257"/>
      <c r="U153" s="257">
        <f>(266000*44%)</f>
        <v>117040</v>
      </c>
      <c r="V153" s="182">
        <f t="shared" si="78"/>
        <v>877800</v>
      </c>
      <c r="W153" s="182"/>
      <c r="X153" s="182"/>
      <c r="Y153" s="182">
        <f>SUM(Q153:X153)</f>
        <v>994840</v>
      </c>
      <c r="Z153" s="208">
        <f>O153-Y153</f>
        <v>6985160</v>
      </c>
    </row>
    <row r="154" spans="1:27" s="137" customFormat="1" ht="15" customHeight="1" x14ac:dyDescent="0.25">
      <c r="A154" s="210"/>
      <c r="B154" s="180"/>
      <c r="C154" s="180"/>
      <c r="D154" s="181"/>
      <c r="E154" s="181"/>
      <c r="F154" s="182"/>
      <c r="G154" s="182"/>
      <c r="H154" s="189"/>
      <c r="I154" s="182"/>
      <c r="J154" s="182"/>
      <c r="K154" s="182"/>
      <c r="L154" s="182"/>
      <c r="M154" s="182"/>
      <c r="N154" s="189"/>
      <c r="O154" s="189"/>
      <c r="P154" s="189"/>
      <c r="Q154" s="257"/>
      <c r="R154" s="257"/>
      <c r="S154" s="257"/>
      <c r="T154" s="257"/>
      <c r="U154" s="257"/>
      <c r="V154" s="182"/>
      <c r="W154" s="182"/>
      <c r="X154" s="182"/>
      <c r="Y154" s="189"/>
      <c r="Z154" s="204"/>
      <c r="AA154" s="186"/>
    </row>
    <row r="155" spans="1:27" ht="15" customHeight="1" x14ac:dyDescent="0.25">
      <c r="A155" s="161" t="s">
        <v>127</v>
      </c>
      <c r="B155" s="162">
        <v>8</v>
      </c>
      <c r="C155" s="162">
        <v>9</v>
      </c>
      <c r="D155" s="163">
        <v>1590000</v>
      </c>
      <c r="E155" s="163"/>
      <c r="F155" s="165"/>
      <c r="G155" s="165"/>
      <c r="H155" s="166">
        <v>50880000</v>
      </c>
      <c r="I155" s="165"/>
      <c r="J155" s="165"/>
      <c r="K155" s="165"/>
      <c r="L155" s="165"/>
      <c r="M155" s="165"/>
      <c r="N155" s="166">
        <f>SUM(E155:M155)</f>
        <v>50880000</v>
      </c>
      <c r="O155" s="166">
        <f>SUM(O156:O163)</f>
        <v>50880000</v>
      </c>
      <c r="P155" s="166">
        <f>N155-O155</f>
        <v>0</v>
      </c>
      <c r="Q155" s="262">
        <f t="shared" ref="Q155:Z155" si="79">SUM(Q156:Q163)</f>
        <v>0</v>
      </c>
      <c r="R155" s="262">
        <f t="shared" si="79"/>
        <v>0</v>
      </c>
      <c r="S155" s="262">
        <f t="shared" si="79"/>
        <v>0</v>
      </c>
      <c r="T155" s="262">
        <f t="shared" si="79"/>
        <v>1818960</v>
      </c>
      <c r="U155" s="262">
        <f t="shared" si="79"/>
        <v>4640680</v>
      </c>
      <c r="V155" s="166">
        <f>SUM(V156:V163)</f>
        <v>5596800</v>
      </c>
      <c r="W155" s="166">
        <f t="shared" si="79"/>
        <v>0</v>
      </c>
      <c r="X155" s="166">
        <f t="shared" si="79"/>
        <v>0</v>
      </c>
      <c r="Y155" s="166">
        <f>SUM(Y156:Y163)</f>
        <v>12056440</v>
      </c>
      <c r="Z155" s="166">
        <f t="shared" si="79"/>
        <v>38823560</v>
      </c>
      <c r="AA155" s="155"/>
    </row>
    <row r="156" spans="1:27" s="137" customFormat="1" ht="15" customHeight="1" x14ac:dyDescent="0.25">
      <c r="A156" s="188" t="s">
        <v>182</v>
      </c>
      <c r="B156" s="180">
        <v>1</v>
      </c>
      <c r="C156" s="180">
        <v>9</v>
      </c>
      <c r="D156" s="181">
        <v>1590000</v>
      </c>
      <c r="E156" s="181"/>
      <c r="F156" s="182"/>
      <c r="G156" s="182"/>
      <c r="H156" s="182">
        <v>6360000</v>
      </c>
      <c r="I156" s="182"/>
      <c r="J156" s="182"/>
      <c r="K156" s="182"/>
      <c r="L156" s="182"/>
      <c r="M156" s="182"/>
      <c r="N156" s="189"/>
      <c r="O156" s="173">
        <f t="shared" ref="O156:O163" si="80">H156</f>
        <v>6360000</v>
      </c>
      <c r="P156" s="189"/>
      <c r="Q156" s="257"/>
      <c r="R156" s="257"/>
      <c r="S156" s="257"/>
      <c r="T156" s="257">
        <f>318000*44%</f>
        <v>139920</v>
      </c>
      <c r="U156" s="257">
        <f>1590000*44%</f>
        <v>699600</v>
      </c>
      <c r="V156" s="182">
        <f>1590000*44%</f>
        <v>699600</v>
      </c>
      <c r="W156" s="182"/>
      <c r="X156" s="182"/>
      <c r="Y156" s="182">
        <f t="shared" ref="Y156:Y163" si="81">SUM(Q156:X156)</f>
        <v>1539120</v>
      </c>
      <c r="Z156" s="208">
        <f t="shared" ref="Z156:Z163" si="82">O156-Y156</f>
        <v>4820880</v>
      </c>
    </row>
    <row r="157" spans="1:27" s="137" customFormat="1" ht="15" customHeight="1" x14ac:dyDescent="0.25">
      <c r="A157" s="188" t="s">
        <v>183</v>
      </c>
      <c r="B157" s="180">
        <v>1</v>
      </c>
      <c r="C157" s="180">
        <v>9</v>
      </c>
      <c r="D157" s="181">
        <v>1590000</v>
      </c>
      <c r="E157" s="181"/>
      <c r="F157" s="182"/>
      <c r="G157" s="182"/>
      <c r="H157" s="182">
        <v>6360000</v>
      </c>
      <c r="I157" s="182"/>
      <c r="J157" s="182"/>
      <c r="K157" s="182"/>
      <c r="L157" s="182"/>
      <c r="M157" s="182"/>
      <c r="N157" s="189"/>
      <c r="O157" s="173">
        <f t="shared" si="80"/>
        <v>6360000</v>
      </c>
      <c r="P157" s="189"/>
      <c r="Q157" s="257"/>
      <c r="R157" s="257"/>
      <c r="S157" s="257"/>
      <c r="T157" s="257">
        <f>1166000*44%</f>
        <v>513040</v>
      </c>
      <c r="U157" s="257">
        <f t="shared" ref="U157:V163" si="83">1590000*44%</f>
        <v>699600</v>
      </c>
      <c r="V157" s="182">
        <f t="shared" si="83"/>
        <v>699600</v>
      </c>
      <c r="W157" s="182"/>
      <c r="X157" s="182"/>
      <c r="Y157" s="182">
        <f t="shared" si="81"/>
        <v>1912240</v>
      </c>
      <c r="Z157" s="208">
        <f t="shared" si="82"/>
        <v>4447760</v>
      </c>
    </row>
    <row r="158" spans="1:27" s="137" customFormat="1" ht="15" customHeight="1" x14ac:dyDescent="0.25">
      <c r="A158" s="188" t="s">
        <v>184</v>
      </c>
      <c r="B158" s="180">
        <v>1</v>
      </c>
      <c r="C158" s="180">
        <v>9</v>
      </c>
      <c r="D158" s="181">
        <v>1590000</v>
      </c>
      <c r="E158" s="181"/>
      <c r="F158" s="182"/>
      <c r="G158" s="182"/>
      <c r="H158" s="182">
        <v>6360000</v>
      </c>
      <c r="I158" s="182"/>
      <c r="J158" s="182"/>
      <c r="K158" s="182"/>
      <c r="L158" s="182"/>
      <c r="M158" s="182"/>
      <c r="N158" s="189"/>
      <c r="O158" s="173">
        <f t="shared" si="80"/>
        <v>6360000</v>
      </c>
      <c r="P158" s="189"/>
      <c r="Q158" s="257"/>
      <c r="R158" s="257"/>
      <c r="S158" s="257"/>
      <c r="T158" s="257">
        <f>901000*44%</f>
        <v>396440</v>
      </c>
      <c r="U158" s="257">
        <f t="shared" si="83"/>
        <v>699600</v>
      </c>
      <c r="V158" s="182">
        <f t="shared" si="83"/>
        <v>699600</v>
      </c>
      <c r="W158" s="182"/>
      <c r="X158" s="182"/>
      <c r="Y158" s="182">
        <f t="shared" si="81"/>
        <v>1795640</v>
      </c>
      <c r="Z158" s="208">
        <f t="shared" si="82"/>
        <v>4564360</v>
      </c>
    </row>
    <row r="159" spans="1:27" s="137" customFormat="1" ht="15" customHeight="1" x14ac:dyDescent="0.25">
      <c r="A159" s="188" t="s">
        <v>185</v>
      </c>
      <c r="B159" s="180">
        <v>1</v>
      </c>
      <c r="C159" s="180">
        <v>9</v>
      </c>
      <c r="D159" s="181">
        <v>1590000</v>
      </c>
      <c r="E159" s="181"/>
      <c r="F159" s="182"/>
      <c r="G159" s="182"/>
      <c r="H159" s="182">
        <v>6360000</v>
      </c>
      <c r="I159" s="182"/>
      <c r="J159" s="182"/>
      <c r="K159" s="182"/>
      <c r="L159" s="182"/>
      <c r="M159" s="182"/>
      <c r="N159" s="189"/>
      <c r="O159" s="173">
        <f t="shared" si="80"/>
        <v>6360000</v>
      </c>
      <c r="P159" s="189"/>
      <c r="Q159" s="257"/>
      <c r="R159" s="257"/>
      <c r="S159" s="257"/>
      <c r="T159" s="257">
        <f>901000*44%</f>
        <v>396440</v>
      </c>
      <c r="U159" s="257">
        <f t="shared" si="83"/>
        <v>699600</v>
      </c>
      <c r="V159" s="182">
        <f t="shared" si="83"/>
        <v>699600</v>
      </c>
      <c r="W159" s="182"/>
      <c r="X159" s="182"/>
      <c r="Y159" s="182">
        <f t="shared" si="81"/>
        <v>1795640</v>
      </c>
      <c r="Z159" s="208">
        <f t="shared" si="82"/>
        <v>4564360</v>
      </c>
    </row>
    <row r="160" spans="1:27" s="137" customFormat="1" ht="15" customHeight="1" x14ac:dyDescent="0.25">
      <c r="A160" s="188" t="s">
        <v>186</v>
      </c>
      <c r="B160" s="180">
        <v>1</v>
      </c>
      <c r="C160" s="180">
        <v>9</v>
      </c>
      <c r="D160" s="181">
        <v>1590000</v>
      </c>
      <c r="E160" s="181"/>
      <c r="F160" s="182"/>
      <c r="G160" s="182"/>
      <c r="H160" s="182">
        <v>6360000</v>
      </c>
      <c r="I160" s="182"/>
      <c r="J160" s="182"/>
      <c r="K160" s="182"/>
      <c r="L160" s="182"/>
      <c r="M160" s="182"/>
      <c r="N160" s="189"/>
      <c r="O160" s="173">
        <f t="shared" si="80"/>
        <v>6360000</v>
      </c>
      <c r="P160" s="189"/>
      <c r="Q160" s="257"/>
      <c r="R160" s="257"/>
      <c r="S160" s="257"/>
      <c r="T160" s="257">
        <f>848000*44%</f>
        <v>373120</v>
      </c>
      <c r="U160" s="257">
        <f t="shared" si="83"/>
        <v>699600</v>
      </c>
      <c r="V160" s="182">
        <f t="shared" si="83"/>
        <v>699600</v>
      </c>
      <c r="W160" s="182"/>
      <c r="X160" s="182"/>
      <c r="Y160" s="182">
        <f t="shared" si="81"/>
        <v>1772320</v>
      </c>
      <c r="Z160" s="208">
        <f t="shared" si="82"/>
        <v>4587680</v>
      </c>
    </row>
    <row r="161" spans="1:28" s="137" customFormat="1" ht="15" customHeight="1" x14ac:dyDescent="0.25">
      <c r="A161" s="191" t="s">
        <v>221</v>
      </c>
      <c r="B161" s="180">
        <v>1</v>
      </c>
      <c r="C161" s="180">
        <v>9</v>
      </c>
      <c r="D161" s="181">
        <v>1590000</v>
      </c>
      <c r="E161" s="181"/>
      <c r="F161" s="182"/>
      <c r="G161" s="182"/>
      <c r="H161" s="182">
        <v>6360000</v>
      </c>
      <c r="I161" s="182"/>
      <c r="J161" s="182"/>
      <c r="K161" s="182"/>
      <c r="L161" s="182"/>
      <c r="M161" s="182"/>
      <c r="N161" s="189"/>
      <c r="O161" s="173">
        <f t="shared" si="80"/>
        <v>6360000</v>
      </c>
      <c r="P161" s="189"/>
      <c r="Q161" s="257"/>
      <c r="R161" s="257"/>
      <c r="S161" s="257"/>
      <c r="T161" s="257"/>
      <c r="U161" s="257">
        <f t="shared" si="83"/>
        <v>699600</v>
      </c>
      <c r="V161" s="182">
        <f t="shared" si="83"/>
        <v>699600</v>
      </c>
      <c r="W161" s="182"/>
      <c r="X161" s="182"/>
      <c r="Y161" s="182">
        <f t="shared" si="81"/>
        <v>1399200</v>
      </c>
      <c r="Z161" s="208">
        <f t="shared" si="82"/>
        <v>4960800</v>
      </c>
    </row>
    <row r="162" spans="1:28" s="137" customFormat="1" ht="15" customHeight="1" x14ac:dyDescent="0.25">
      <c r="A162" s="191" t="s">
        <v>222</v>
      </c>
      <c r="B162" s="180">
        <v>1</v>
      </c>
      <c r="C162" s="180">
        <v>9</v>
      </c>
      <c r="D162" s="181">
        <v>1590000</v>
      </c>
      <c r="E162" s="181"/>
      <c r="F162" s="182"/>
      <c r="G162" s="182"/>
      <c r="H162" s="182">
        <v>6360000</v>
      </c>
      <c r="I162" s="182"/>
      <c r="J162" s="182"/>
      <c r="K162" s="182"/>
      <c r="L162" s="182"/>
      <c r="M162" s="182"/>
      <c r="N162" s="189"/>
      <c r="O162" s="173">
        <f t="shared" si="80"/>
        <v>6360000</v>
      </c>
      <c r="P162" s="189"/>
      <c r="Q162" s="257"/>
      <c r="R162" s="257"/>
      <c r="S162" s="257"/>
      <c r="T162" s="257"/>
      <c r="U162" s="257">
        <f>795000*44%</f>
        <v>349800</v>
      </c>
      <c r="V162" s="182">
        <f t="shared" si="83"/>
        <v>699600</v>
      </c>
      <c r="W162" s="182"/>
      <c r="X162" s="182"/>
      <c r="Y162" s="182">
        <f t="shared" si="81"/>
        <v>1049400</v>
      </c>
      <c r="Z162" s="208">
        <f t="shared" si="82"/>
        <v>5310600</v>
      </c>
    </row>
    <row r="163" spans="1:28" s="137" customFormat="1" ht="15" customHeight="1" x14ac:dyDescent="0.25">
      <c r="A163" s="191" t="s">
        <v>223</v>
      </c>
      <c r="B163" s="180">
        <v>1</v>
      </c>
      <c r="C163" s="180">
        <v>9</v>
      </c>
      <c r="D163" s="181">
        <v>1590000</v>
      </c>
      <c r="E163" s="181"/>
      <c r="F163" s="182"/>
      <c r="G163" s="182"/>
      <c r="H163" s="182">
        <v>6360000</v>
      </c>
      <c r="I163" s="182"/>
      <c r="J163" s="182"/>
      <c r="K163" s="182"/>
      <c r="L163" s="182"/>
      <c r="M163" s="182"/>
      <c r="N163" s="189"/>
      <c r="O163" s="173">
        <f t="shared" si="80"/>
        <v>6360000</v>
      </c>
      <c r="P163" s="189"/>
      <c r="Q163" s="257"/>
      <c r="R163" s="257"/>
      <c r="S163" s="257"/>
      <c r="T163" s="257"/>
      <c r="U163" s="257">
        <f>212000*44%</f>
        <v>93280</v>
      </c>
      <c r="V163" s="182">
        <f t="shared" si="83"/>
        <v>699600</v>
      </c>
      <c r="W163" s="182"/>
      <c r="X163" s="182"/>
      <c r="Y163" s="182">
        <f t="shared" si="81"/>
        <v>792880</v>
      </c>
      <c r="Z163" s="208">
        <f t="shared" si="82"/>
        <v>5567120</v>
      </c>
    </row>
    <row r="164" spans="1:28" s="137" customFormat="1" ht="15" customHeight="1" x14ac:dyDescent="0.25">
      <c r="A164" s="210"/>
      <c r="B164" s="180"/>
      <c r="C164" s="180"/>
      <c r="D164" s="181"/>
      <c r="E164" s="181"/>
      <c r="F164" s="182"/>
      <c r="G164" s="182"/>
      <c r="H164" s="189"/>
      <c r="I164" s="182"/>
      <c r="J164" s="182"/>
      <c r="K164" s="182"/>
      <c r="L164" s="182"/>
      <c r="M164" s="182"/>
      <c r="N164" s="189"/>
      <c r="O164" s="189"/>
      <c r="P164" s="189"/>
      <c r="Q164" s="257"/>
      <c r="R164" s="257"/>
      <c r="S164" s="257"/>
      <c r="T164" s="257"/>
      <c r="U164" s="257"/>
      <c r="V164" s="182"/>
      <c r="W164" s="182"/>
      <c r="X164" s="182"/>
      <c r="Y164" s="189"/>
      <c r="Z164" s="204"/>
    </row>
    <row r="165" spans="1:28" ht="15" customHeight="1" x14ac:dyDescent="0.25">
      <c r="A165" s="161" t="s">
        <v>141</v>
      </c>
      <c r="B165" s="162"/>
      <c r="C165" s="162"/>
      <c r="D165" s="163">
        <v>0</v>
      </c>
      <c r="E165" s="163">
        <v>0</v>
      </c>
      <c r="F165" s="165">
        <v>0</v>
      </c>
      <c r="G165" s="165">
        <v>0</v>
      </c>
      <c r="H165" s="166">
        <f>H166</f>
        <v>0</v>
      </c>
      <c r="I165" s="165">
        <f>+I166</f>
        <v>0</v>
      </c>
      <c r="J165" s="165">
        <v>0</v>
      </c>
      <c r="K165" s="165">
        <v>0</v>
      </c>
      <c r="L165" s="165"/>
      <c r="M165" s="165">
        <v>0</v>
      </c>
      <c r="N165" s="166">
        <f>SUM(E165:M165)</f>
        <v>0</v>
      </c>
      <c r="O165" s="166">
        <f>O166</f>
        <v>0</v>
      </c>
      <c r="P165" s="166">
        <f>N165-O165</f>
        <v>0</v>
      </c>
      <c r="Q165" s="265">
        <f>Q166</f>
        <v>0</v>
      </c>
      <c r="R165" s="265">
        <f>+R166</f>
        <v>0</v>
      </c>
      <c r="S165" s="265">
        <f>+S166</f>
        <v>0</v>
      </c>
      <c r="T165" s="262">
        <f t="shared" ref="T165:X165" si="84">+T166</f>
        <v>0</v>
      </c>
      <c r="U165" s="262">
        <f t="shared" si="84"/>
        <v>0</v>
      </c>
      <c r="V165" s="165">
        <v>0</v>
      </c>
      <c r="W165" s="165">
        <f t="shared" si="84"/>
        <v>0</v>
      </c>
      <c r="X165" s="166">
        <f t="shared" si="84"/>
        <v>0</v>
      </c>
      <c r="Y165" s="166">
        <f>SUM(Y166)</f>
        <v>0</v>
      </c>
      <c r="Z165" s="209">
        <f>+Z166</f>
        <v>0</v>
      </c>
    </row>
    <row r="166" spans="1:28" ht="15" customHeight="1" x14ac:dyDescent="0.25">
      <c r="A166" s="168"/>
      <c r="B166" s="177"/>
      <c r="C166" s="177"/>
      <c r="D166" s="171">
        <v>0</v>
      </c>
      <c r="E166" s="171"/>
      <c r="F166" s="173"/>
      <c r="G166" s="173"/>
      <c r="H166" s="173">
        <v>0</v>
      </c>
      <c r="I166" s="173">
        <v>0</v>
      </c>
      <c r="J166" s="173"/>
      <c r="K166" s="173"/>
      <c r="L166" s="173"/>
      <c r="M166" s="173"/>
      <c r="N166" s="173"/>
      <c r="O166" s="173">
        <f>H166</f>
        <v>0</v>
      </c>
      <c r="P166" s="173"/>
      <c r="Q166" s="256"/>
      <c r="R166" s="256"/>
      <c r="S166" s="256"/>
      <c r="T166" s="256">
        <v>0</v>
      </c>
      <c r="U166" s="256">
        <v>0</v>
      </c>
      <c r="V166" s="172">
        <v>0</v>
      </c>
      <c r="W166" s="172">
        <v>0</v>
      </c>
      <c r="X166" s="172">
        <v>0</v>
      </c>
      <c r="Y166" s="172">
        <f>SUM(Q166:X166)</f>
        <v>0</v>
      </c>
      <c r="Z166" s="194"/>
      <c r="AA166" s="155"/>
    </row>
    <row r="167" spans="1:28" ht="15" customHeight="1" x14ac:dyDescent="0.25">
      <c r="A167" s="161" t="s">
        <v>142</v>
      </c>
      <c r="B167" s="162"/>
      <c r="C167" s="162"/>
      <c r="D167" s="163">
        <v>0</v>
      </c>
      <c r="E167" s="163">
        <v>0</v>
      </c>
      <c r="F167" s="165">
        <v>0</v>
      </c>
      <c r="G167" s="165">
        <v>0</v>
      </c>
      <c r="H167" s="166">
        <f>SUM(H168:H169)</f>
        <v>0</v>
      </c>
      <c r="I167" s="165">
        <f>+I168</f>
        <v>0</v>
      </c>
      <c r="J167" s="165">
        <v>0</v>
      </c>
      <c r="K167" s="165">
        <v>0</v>
      </c>
      <c r="L167" s="165"/>
      <c r="M167" s="165">
        <v>0</v>
      </c>
      <c r="N167" s="166">
        <f>SUM(E167:M167)</f>
        <v>0</v>
      </c>
      <c r="O167" s="166">
        <f>SUM(O168:O169)</f>
        <v>0</v>
      </c>
      <c r="P167" s="166">
        <f>N167-O167</f>
        <v>0</v>
      </c>
      <c r="Q167" s="265">
        <f>SUM(Q168:Q169)</f>
        <v>0</v>
      </c>
      <c r="R167" s="265">
        <f>+R168+R169</f>
        <v>0</v>
      </c>
      <c r="S167" s="265">
        <f>+S168+S169</f>
        <v>0</v>
      </c>
      <c r="T167" s="265">
        <f t="shared" ref="T167:X167" si="85">+T168+T169</f>
        <v>0</v>
      </c>
      <c r="U167" s="265">
        <f t="shared" ref="U167" si="86">+U168+U169</f>
        <v>0</v>
      </c>
      <c r="V167" s="166">
        <f>+V168+V169</f>
        <v>0</v>
      </c>
      <c r="W167" s="165">
        <f t="shared" si="85"/>
        <v>0</v>
      </c>
      <c r="X167" s="166">
        <f t="shared" si="85"/>
        <v>0</v>
      </c>
      <c r="Y167" s="165">
        <f>SUM(Y168)</f>
        <v>0</v>
      </c>
      <c r="Z167" s="209">
        <f>+Z168</f>
        <v>0</v>
      </c>
    </row>
    <row r="168" spans="1:28" ht="15" customHeight="1" x14ac:dyDescent="0.25">
      <c r="A168" s="168"/>
      <c r="B168" s="177"/>
      <c r="C168" s="177"/>
      <c r="D168" s="171">
        <v>0</v>
      </c>
      <c r="E168" s="171"/>
      <c r="F168" s="173"/>
      <c r="G168" s="173"/>
      <c r="H168" s="173">
        <v>0</v>
      </c>
      <c r="I168" s="173">
        <v>0</v>
      </c>
      <c r="J168" s="173"/>
      <c r="K168" s="173"/>
      <c r="L168" s="173"/>
      <c r="M168" s="173"/>
      <c r="N168" s="173"/>
      <c r="O168" s="173">
        <f>H168</f>
        <v>0</v>
      </c>
      <c r="P168" s="173"/>
      <c r="Q168" s="256"/>
      <c r="R168" s="256"/>
      <c r="S168" s="256"/>
      <c r="T168" s="256"/>
      <c r="U168" s="256"/>
      <c r="V168" s="172">
        <v>0</v>
      </c>
      <c r="W168" s="172">
        <v>0</v>
      </c>
      <c r="X168" s="172">
        <v>0</v>
      </c>
      <c r="Y168" s="172">
        <f>SUM(Q168:X168)</f>
        <v>0</v>
      </c>
      <c r="Z168" s="194"/>
    </row>
    <row r="169" spans="1:28" ht="15" customHeight="1" x14ac:dyDescent="0.25">
      <c r="A169" s="168"/>
      <c r="B169" s="177"/>
      <c r="C169" s="177"/>
      <c r="D169" s="171">
        <v>0</v>
      </c>
      <c r="E169" s="171"/>
      <c r="F169" s="173"/>
      <c r="G169" s="173"/>
      <c r="H169" s="173">
        <v>0</v>
      </c>
      <c r="I169" s="173"/>
      <c r="J169" s="173"/>
      <c r="K169" s="173"/>
      <c r="L169" s="173"/>
      <c r="M169" s="173"/>
      <c r="N169" s="173"/>
      <c r="O169" s="173">
        <f>H169</f>
        <v>0</v>
      </c>
      <c r="P169" s="173"/>
      <c r="Q169" s="256"/>
      <c r="R169" s="256"/>
      <c r="S169" s="256"/>
      <c r="T169" s="256"/>
      <c r="U169" s="256"/>
      <c r="V169" s="172">
        <v>0</v>
      </c>
      <c r="W169" s="172">
        <v>0</v>
      </c>
      <c r="X169" s="172">
        <v>0</v>
      </c>
      <c r="Y169" s="172"/>
      <c r="Z169" s="194"/>
    </row>
    <row r="170" spans="1:28" s="211" customFormat="1" x14ac:dyDescent="0.25">
      <c r="A170" s="156" t="s">
        <v>100</v>
      </c>
      <c r="B170" s="157"/>
      <c r="C170" s="157"/>
      <c r="D170" s="158"/>
      <c r="E170" s="159"/>
      <c r="F170" s="159"/>
      <c r="G170" s="159">
        <f>+G29+G31+G36+G42+G75+G165+G167+G149</f>
        <v>0</v>
      </c>
      <c r="H170" s="159">
        <f>+H143+H149+H167+H165+H140+H155</f>
        <v>140695000</v>
      </c>
      <c r="I170" s="159">
        <f>+I165+I167</f>
        <v>0</v>
      </c>
      <c r="J170" s="159">
        <f>+J29+J31+J36+J42+J75+J165+J167+J149</f>
        <v>0</v>
      </c>
      <c r="K170" s="159">
        <f>+K29+K31+K36+K42+K75+K165+K167+K149</f>
        <v>0</v>
      </c>
      <c r="L170" s="159">
        <f>+L29+L31+L36+L42+D22+L165+L167+L149</f>
        <v>0</v>
      </c>
      <c r="M170" s="159">
        <f>+M29+M31+M36+M42+M75+M165+M167+M149</f>
        <v>0</v>
      </c>
      <c r="N170" s="159">
        <f>+N143+N149+N167+N165+N140+N155</f>
        <v>140695000</v>
      </c>
      <c r="O170" s="159">
        <f>+O143+O149+O167+O165+O141+O155</f>
        <v>140695000</v>
      </c>
      <c r="P170" s="159">
        <f>+P155+P149+P143+P140+P165+P167</f>
        <v>0</v>
      </c>
      <c r="Q170" s="261">
        <f t="shared" ref="Q170:X170" si="87">+Q143+Q149+Q167+Q165+Q140+Q155</f>
        <v>1716466.75</v>
      </c>
      <c r="R170" s="261">
        <f t="shared" si="87"/>
        <v>2721500</v>
      </c>
      <c r="S170" s="261">
        <f t="shared" si="87"/>
        <v>2721500</v>
      </c>
      <c r="T170" s="261">
        <f t="shared" si="87"/>
        <v>7822900</v>
      </c>
      <c r="U170" s="261">
        <f t="shared" si="87"/>
        <v>12952170</v>
      </c>
      <c r="V170" s="159">
        <f t="shared" si="87"/>
        <v>14622500</v>
      </c>
      <c r="W170" s="159">
        <f t="shared" si="87"/>
        <v>0</v>
      </c>
      <c r="X170" s="159">
        <f t="shared" si="87"/>
        <v>0</v>
      </c>
      <c r="Y170" s="159">
        <f>+Y143+Y149+Y155+Y167+Y165+Y140</f>
        <v>42557036.75</v>
      </c>
      <c r="Z170" s="195">
        <f>+Z167+Z165+Z155+Z149+Z143+Z140</f>
        <v>98137963.25</v>
      </c>
    </row>
    <row r="171" spans="1:28" x14ac:dyDescent="0.25">
      <c r="A171" s="156" t="s">
        <v>110</v>
      </c>
      <c r="B171" s="157"/>
      <c r="C171" s="157"/>
      <c r="D171" s="158"/>
      <c r="E171" s="159">
        <f>E141+E139</f>
        <v>0</v>
      </c>
      <c r="F171" s="159">
        <f>F141+F139</f>
        <v>0</v>
      </c>
      <c r="G171" s="159"/>
      <c r="H171" s="159">
        <f>H170+H139</f>
        <v>317095000</v>
      </c>
      <c r="I171" s="159"/>
      <c r="J171" s="159"/>
      <c r="K171" s="159"/>
      <c r="L171" s="159"/>
      <c r="M171" s="159" t="e">
        <f>+M106+#REF!+#REF!+M113+M124+M169+M144+M138</f>
        <v>#REF!</v>
      </c>
      <c r="N171" s="159">
        <f t="shared" ref="N171:Y171" si="88">N170+N139</f>
        <v>317095000</v>
      </c>
      <c r="O171" s="159">
        <f t="shared" si="88"/>
        <v>180374200</v>
      </c>
      <c r="P171" s="159">
        <f t="shared" si="88"/>
        <v>136720800</v>
      </c>
      <c r="Q171" s="261">
        <f t="shared" si="88"/>
        <v>2368066.75</v>
      </c>
      <c r="R171" s="261">
        <f t="shared" si="88"/>
        <v>4015700</v>
      </c>
      <c r="S171" s="261">
        <f t="shared" si="88"/>
        <v>5149700</v>
      </c>
      <c r="T171" s="261">
        <f t="shared" si="88"/>
        <v>15066100</v>
      </c>
      <c r="U171" s="261">
        <f t="shared" si="88"/>
        <v>26909370</v>
      </c>
      <c r="V171" s="159">
        <f t="shared" si="88"/>
        <v>28727300</v>
      </c>
      <c r="W171" s="159">
        <f t="shared" si="88"/>
        <v>0</v>
      </c>
      <c r="X171" s="159">
        <f t="shared" si="88"/>
        <v>0</v>
      </c>
      <c r="Y171" s="159">
        <f t="shared" si="88"/>
        <v>82236236.75</v>
      </c>
      <c r="Z171" s="195">
        <f>O171-Y171</f>
        <v>98137963.25</v>
      </c>
    </row>
    <row r="172" spans="1:28" x14ac:dyDescent="0.25">
      <c r="A172" s="105" t="s">
        <v>82</v>
      </c>
      <c r="B172" s="18" t="s">
        <v>46</v>
      </c>
      <c r="C172" s="18">
        <v>1</v>
      </c>
      <c r="D172" s="196"/>
      <c r="E172" s="199"/>
      <c r="F172" s="197"/>
      <c r="G172" s="198"/>
      <c r="H172" s="197">
        <v>126237500</v>
      </c>
      <c r="I172" s="199"/>
      <c r="J172" s="173"/>
      <c r="K172" s="173"/>
      <c r="L172" s="173"/>
      <c r="M172" s="173"/>
      <c r="N172" s="173">
        <f t="shared" ref="N172:N182" si="89">SUM(E172:M172)</f>
        <v>126237500</v>
      </c>
      <c r="O172" s="173">
        <v>0</v>
      </c>
      <c r="P172" s="173">
        <f>N172-O172</f>
        <v>126237500</v>
      </c>
      <c r="Q172" s="256"/>
      <c r="R172" s="256"/>
      <c r="S172" s="256"/>
      <c r="T172" s="256"/>
      <c r="U172" s="256"/>
      <c r="V172" s="172"/>
      <c r="W172" s="172"/>
      <c r="X172" s="172">
        <v>0</v>
      </c>
      <c r="Y172" s="182">
        <f>SUM(Q172:X172)</f>
        <v>0</v>
      </c>
      <c r="Z172" s="208">
        <f>O172-Y172</f>
        <v>0</v>
      </c>
    </row>
    <row r="173" spans="1:28" x14ac:dyDescent="0.25">
      <c r="A173" s="103" t="s">
        <v>85</v>
      </c>
      <c r="B173" s="18" t="s">
        <v>46</v>
      </c>
      <c r="C173" s="18">
        <v>1</v>
      </c>
      <c r="D173" s="196"/>
      <c r="E173" s="197"/>
      <c r="F173" s="197"/>
      <c r="G173" s="198"/>
      <c r="H173" s="197">
        <v>9000000</v>
      </c>
      <c r="I173" s="197"/>
      <c r="J173" s="173"/>
      <c r="K173" s="173"/>
      <c r="L173" s="173"/>
      <c r="M173" s="173"/>
      <c r="N173" s="173">
        <f t="shared" si="89"/>
        <v>9000000</v>
      </c>
      <c r="O173" s="173">
        <v>0</v>
      </c>
      <c r="P173" s="173">
        <f>+N173-O174</f>
        <v>0</v>
      </c>
      <c r="Q173" s="256"/>
      <c r="R173" s="256"/>
      <c r="S173" s="256"/>
      <c r="T173" s="256"/>
      <c r="U173" s="256"/>
      <c r="V173" s="172"/>
      <c r="W173" s="172"/>
      <c r="X173" s="172"/>
      <c r="Y173" s="182">
        <f>SUM(Q173:X173)</f>
        <v>0</v>
      </c>
      <c r="Z173" s="208">
        <f t="shared" ref="Z173:Z182" si="90">O173-Y173</f>
        <v>0</v>
      </c>
    </row>
    <row r="174" spans="1:28" x14ac:dyDescent="0.25">
      <c r="A174" s="275" t="s">
        <v>235</v>
      </c>
      <c r="B174" s="18"/>
      <c r="C174" s="18"/>
      <c r="D174" s="196"/>
      <c r="E174" s="197"/>
      <c r="F174" s="197"/>
      <c r="G174" s="198"/>
      <c r="H174" s="197">
        <v>9000000</v>
      </c>
      <c r="I174" s="197"/>
      <c r="J174" s="173"/>
      <c r="K174" s="173"/>
      <c r="L174" s="173"/>
      <c r="M174" s="173"/>
      <c r="N174" s="173"/>
      <c r="O174" s="173">
        <v>9000000</v>
      </c>
      <c r="P174" s="173"/>
      <c r="Q174" s="256"/>
      <c r="R174" s="256"/>
      <c r="S174" s="256"/>
      <c r="T174" s="256"/>
      <c r="U174" s="256"/>
      <c r="V174" s="172"/>
      <c r="W174" s="172"/>
      <c r="X174" s="172"/>
      <c r="Y174" s="182">
        <f>SUM(Q174:X174)</f>
        <v>0</v>
      </c>
      <c r="Z174" s="208">
        <f t="shared" si="90"/>
        <v>9000000</v>
      </c>
    </row>
    <row r="175" spans="1:28" ht="14.25" customHeight="1" x14ac:dyDescent="0.25">
      <c r="A175" s="106" t="s">
        <v>203</v>
      </c>
      <c r="B175" s="18" t="s">
        <v>46</v>
      </c>
      <c r="C175" s="18">
        <v>1</v>
      </c>
      <c r="D175" s="196"/>
      <c r="E175" s="197"/>
      <c r="F175" s="197"/>
      <c r="G175" s="198"/>
      <c r="H175" s="197">
        <v>16600000</v>
      </c>
      <c r="I175" s="197"/>
      <c r="J175" s="173"/>
      <c r="K175" s="173"/>
      <c r="L175" s="173"/>
      <c r="M175" s="173"/>
      <c r="N175" s="173">
        <f t="shared" si="89"/>
        <v>16600000</v>
      </c>
      <c r="O175" s="173"/>
      <c r="P175" s="173">
        <f>+N175-O176</f>
        <v>0</v>
      </c>
      <c r="Q175" s="256"/>
      <c r="R175" s="256"/>
      <c r="S175" s="256"/>
      <c r="T175" s="256"/>
      <c r="U175" s="256"/>
      <c r="V175" s="172"/>
      <c r="W175" s="172">
        <v>0</v>
      </c>
      <c r="X175" s="172">
        <v>0</v>
      </c>
      <c r="Y175" s="182"/>
      <c r="Z175" s="208">
        <f t="shared" si="90"/>
        <v>0</v>
      </c>
    </row>
    <row r="176" spans="1:28" ht="15" customHeight="1" x14ac:dyDescent="0.25">
      <c r="A176" s="107" t="s">
        <v>204</v>
      </c>
      <c r="B176" s="18"/>
      <c r="C176" s="18"/>
      <c r="D176" s="196"/>
      <c r="E176" s="197"/>
      <c r="F176" s="197"/>
      <c r="G176" s="198"/>
      <c r="H176" s="197"/>
      <c r="I176" s="197"/>
      <c r="J176" s="173"/>
      <c r="K176" s="173"/>
      <c r="L176" s="173"/>
      <c r="M176" s="173"/>
      <c r="N176" s="173">
        <v>16600000</v>
      </c>
      <c r="O176" s="173">
        <v>16600000</v>
      </c>
      <c r="P176" s="173"/>
      <c r="Q176" s="256"/>
      <c r="R176" s="256"/>
      <c r="S176" s="256"/>
      <c r="T176" s="256">
        <f>218820*28%</f>
        <v>61269.600000000006</v>
      </c>
      <c r="U176" s="256">
        <f>(1149002)*28%</f>
        <v>321720.56000000006</v>
      </c>
      <c r="V176" s="256">
        <f>362585*28%</f>
        <v>101523.8</v>
      </c>
      <c r="W176" s="172"/>
      <c r="X176" s="172"/>
      <c r="Y176" s="182">
        <f t="shared" ref="Y176:Y182" si="91">SUM(Q176:X176)</f>
        <v>484513.96</v>
      </c>
      <c r="Z176" s="208">
        <f t="shared" si="90"/>
        <v>16115486.039999999</v>
      </c>
      <c r="AA176" s="155"/>
      <c r="AB176" s="155"/>
    </row>
    <row r="177" spans="1:29" x14ac:dyDescent="0.25">
      <c r="A177" s="104" t="s">
        <v>134</v>
      </c>
      <c r="B177" s="18" t="s">
        <v>135</v>
      </c>
      <c r="C177" s="18">
        <v>1</v>
      </c>
      <c r="D177" s="196">
        <v>178589768</v>
      </c>
      <c r="E177" s="197"/>
      <c r="F177" s="197"/>
      <c r="G177" s="198"/>
      <c r="H177" s="197"/>
      <c r="I177" s="197">
        <f>+D177</f>
        <v>178589768</v>
      </c>
      <c r="J177" s="173"/>
      <c r="K177" s="173"/>
      <c r="L177" s="173"/>
      <c r="M177" s="173"/>
      <c r="N177" s="173">
        <f t="shared" ref="N177" si="92">SUM(E177:M177)</f>
        <v>178589768</v>
      </c>
      <c r="O177" s="173">
        <v>178589768</v>
      </c>
      <c r="P177" s="173">
        <f t="shared" ref="P177" si="93">N177-O177</f>
        <v>0</v>
      </c>
      <c r="Q177" s="256">
        <v>178589768</v>
      </c>
      <c r="R177" s="256"/>
      <c r="S177" s="256"/>
      <c r="T177" s="256"/>
      <c r="U177" s="256"/>
      <c r="V177" s="172"/>
      <c r="W177" s="172"/>
      <c r="X177" s="172"/>
      <c r="Y177" s="182">
        <f t="shared" si="91"/>
        <v>178589768</v>
      </c>
      <c r="Z177" s="208">
        <f t="shared" si="90"/>
        <v>0</v>
      </c>
    </row>
    <row r="178" spans="1:29" x14ac:dyDescent="0.25">
      <c r="A178" s="103" t="s">
        <v>88</v>
      </c>
      <c r="B178" s="18" t="s">
        <v>46</v>
      </c>
      <c r="C178" s="18">
        <v>1</v>
      </c>
      <c r="D178" s="196"/>
      <c r="E178" s="197"/>
      <c r="F178" s="197"/>
      <c r="G178" s="198"/>
      <c r="H178" s="199"/>
      <c r="I178" s="197">
        <v>512896545</v>
      </c>
      <c r="J178" s="173"/>
      <c r="K178" s="173"/>
      <c r="L178" s="173"/>
      <c r="M178" s="173"/>
      <c r="N178" s="173">
        <f t="shared" si="89"/>
        <v>512896545</v>
      </c>
      <c r="O178" s="182"/>
      <c r="P178" s="173">
        <f>N178-O178</f>
        <v>512896545</v>
      </c>
      <c r="Q178" s="256">
        <v>0</v>
      </c>
      <c r="R178" s="256">
        <v>0</v>
      </c>
      <c r="S178" s="256"/>
      <c r="T178" s="256"/>
      <c r="U178" s="256"/>
      <c r="V178" s="172">
        <v>0</v>
      </c>
      <c r="W178" s="172">
        <v>0</v>
      </c>
      <c r="X178" s="172">
        <v>0</v>
      </c>
      <c r="Y178" s="182">
        <f t="shared" si="91"/>
        <v>0</v>
      </c>
      <c r="Z178" s="208">
        <f t="shared" si="90"/>
        <v>0</v>
      </c>
    </row>
    <row r="179" spans="1:29" x14ac:dyDescent="0.25">
      <c r="A179" s="103" t="s">
        <v>131</v>
      </c>
      <c r="B179" s="98" t="s">
        <v>46</v>
      </c>
      <c r="C179" s="98">
        <v>1</v>
      </c>
      <c r="D179" s="212">
        <v>25000000</v>
      </c>
      <c r="E179" s="213">
        <v>0</v>
      </c>
      <c r="F179" s="213"/>
      <c r="G179" s="214"/>
      <c r="H179" s="213">
        <v>8000000</v>
      </c>
      <c r="I179" s="197"/>
      <c r="J179" s="173"/>
      <c r="K179" s="173"/>
      <c r="L179" s="173"/>
      <c r="M179" s="173"/>
      <c r="N179" s="173">
        <f>SUM(E179:M179)</f>
        <v>8000000</v>
      </c>
      <c r="O179" s="173">
        <v>0</v>
      </c>
      <c r="P179" s="173">
        <f>N179-O179</f>
        <v>8000000</v>
      </c>
      <c r="Q179" s="256"/>
      <c r="R179" s="256"/>
      <c r="S179" s="256"/>
      <c r="T179" s="256"/>
      <c r="U179" s="256"/>
      <c r="V179" s="172"/>
      <c r="W179" s="172"/>
      <c r="X179" s="172"/>
      <c r="Y179" s="182">
        <f t="shared" si="91"/>
        <v>0</v>
      </c>
      <c r="Z179" s="208">
        <f t="shared" si="90"/>
        <v>0</v>
      </c>
    </row>
    <row r="180" spans="1:29" x14ac:dyDescent="0.25">
      <c r="A180" s="103" t="s">
        <v>132</v>
      </c>
      <c r="B180" s="98" t="s">
        <v>46</v>
      </c>
      <c r="C180" s="98">
        <v>1</v>
      </c>
      <c r="D180" s="212">
        <v>42000000</v>
      </c>
      <c r="E180" s="213">
        <v>0</v>
      </c>
      <c r="F180" s="213"/>
      <c r="G180" s="214"/>
      <c r="H180" s="213">
        <v>21000000</v>
      </c>
      <c r="I180" s="197"/>
      <c r="J180" s="173"/>
      <c r="K180" s="173"/>
      <c r="L180" s="173"/>
      <c r="M180" s="173"/>
      <c r="N180" s="173">
        <f>SUM(E180:M180)</f>
        <v>21000000</v>
      </c>
      <c r="O180" s="173">
        <v>0</v>
      </c>
      <c r="P180" s="173">
        <f>N180-O180</f>
        <v>21000000</v>
      </c>
      <c r="Q180" s="256"/>
      <c r="R180" s="256"/>
      <c r="S180" s="256"/>
      <c r="T180" s="256"/>
      <c r="U180" s="256"/>
      <c r="V180" s="172"/>
      <c r="W180" s="172"/>
      <c r="X180" s="172"/>
      <c r="Y180" s="182">
        <f t="shared" si="91"/>
        <v>0</v>
      </c>
      <c r="Z180" s="208">
        <f t="shared" si="90"/>
        <v>0</v>
      </c>
    </row>
    <row r="181" spans="1:29" x14ac:dyDescent="0.25">
      <c r="A181" s="103" t="s">
        <v>89</v>
      </c>
      <c r="B181" s="18" t="s">
        <v>46</v>
      </c>
      <c r="C181" s="18">
        <v>1</v>
      </c>
      <c r="D181" s="196"/>
      <c r="E181" s="197"/>
      <c r="F181" s="197"/>
      <c r="G181" s="198"/>
      <c r="H181" s="201">
        <v>1500000</v>
      </c>
      <c r="I181" s="197"/>
      <c r="J181" s="173"/>
      <c r="K181" s="173"/>
      <c r="L181" s="173"/>
      <c r="M181" s="173"/>
      <c r="N181" s="173">
        <f t="shared" si="89"/>
        <v>1500000</v>
      </c>
      <c r="O181" s="173">
        <v>0</v>
      </c>
      <c r="P181" s="173">
        <f t="shared" ref="P181:P188" si="94">N181-O181</f>
        <v>1500000</v>
      </c>
      <c r="Q181" s="256"/>
      <c r="R181" s="256"/>
      <c r="S181" s="256"/>
      <c r="T181" s="256"/>
      <c r="U181" s="256"/>
      <c r="V181" s="172"/>
      <c r="W181" s="172"/>
      <c r="X181" s="172"/>
      <c r="Y181" s="182">
        <f t="shared" si="91"/>
        <v>0</v>
      </c>
      <c r="Z181" s="208">
        <f t="shared" si="90"/>
        <v>0</v>
      </c>
    </row>
    <row r="182" spans="1:29" x14ac:dyDescent="0.25">
      <c r="A182" s="99" t="s">
        <v>90</v>
      </c>
      <c r="B182" s="18" t="s">
        <v>46</v>
      </c>
      <c r="C182" s="18">
        <v>1</v>
      </c>
      <c r="D182" s="196"/>
      <c r="E182" s="197">
        <v>0</v>
      </c>
      <c r="F182" s="197"/>
      <c r="G182" s="198"/>
      <c r="H182" s="199">
        <v>2000000</v>
      </c>
      <c r="I182" s="197"/>
      <c r="J182" s="173"/>
      <c r="K182" s="173"/>
      <c r="L182" s="173"/>
      <c r="M182" s="173"/>
      <c r="N182" s="173">
        <f t="shared" si="89"/>
        <v>2000000</v>
      </c>
      <c r="O182" s="173">
        <v>0</v>
      </c>
      <c r="P182" s="173">
        <f t="shared" si="94"/>
        <v>2000000</v>
      </c>
      <c r="Q182" s="256"/>
      <c r="R182" s="256"/>
      <c r="S182" s="256"/>
      <c r="T182" s="256"/>
      <c r="U182" s="256"/>
      <c r="V182" s="172"/>
      <c r="W182" s="172"/>
      <c r="X182" s="172"/>
      <c r="Y182" s="182">
        <f t="shared" si="91"/>
        <v>0</v>
      </c>
      <c r="Z182" s="208">
        <f t="shared" si="90"/>
        <v>0</v>
      </c>
    </row>
    <row r="183" spans="1:29" x14ac:dyDescent="0.25">
      <c r="A183" s="156" t="s">
        <v>36</v>
      </c>
      <c r="B183" s="202"/>
      <c r="C183" s="202"/>
      <c r="D183" s="203"/>
      <c r="E183" s="159">
        <f>SUM(E172:E182)</f>
        <v>0</v>
      </c>
      <c r="F183" s="159">
        <f>SUM(F172:F182)</f>
        <v>0</v>
      </c>
      <c r="G183" s="159"/>
      <c r="H183" s="159">
        <f>+H172+H173+H175+H177+H178+H179+H180+H181+H182</f>
        <v>184337500</v>
      </c>
      <c r="I183" s="159">
        <f>SUM(I172:I182)</f>
        <v>691486313</v>
      </c>
      <c r="J183" s="159"/>
      <c r="K183" s="159">
        <f>SUM(K172:K182)</f>
        <v>0</v>
      </c>
      <c r="L183" s="159">
        <f>SUM(L172:L182)</f>
        <v>0</v>
      </c>
      <c r="M183" s="159" t="e">
        <f>+#REF!</f>
        <v>#REF!</v>
      </c>
      <c r="N183" s="159">
        <f>+N172+N173+N175+N177+N178+N179+N180+N181+N182</f>
        <v>875823813</v>
      </c>
      <c r="O183" s="159">
        <f>+O172+O174+O176+O177+O178+O179+O180+O181+O182</f>
        <v>204189768</v>
      </c>
      <c r="P183" s="159">
        <f>N183-O183</f>
        <v>671634045</v>
      </c>
      <c r="Q183" s="261">
        <f>SUM(Q172:Q182)</f>
        <v>178589768</v>
      </c>
      <c r="R183" s="261">
        <f t="shared" ref="R183:X183" si="95">SUM(R172:R182)</f>
        <v>0</v>
      </c>
      <c r="S183" s="261">
        <f t="shared" si="95"/>
        <v>0</v>
      </c>
      <c r="T183" s="261">
        <f t="shared" si="95"/>
        <v>61269.600000000006</v>
      </c>
      <c r="U183" s="261">
        <f t="shared" si="95"/>
        <v>321720.56000000006</v>
      </c>
      <c r="V183" s="159">
        <f t="shared" si="95"/>
        <v>101523.8</v>
      </c>
      <c r="W183" s="159">
        <f t="shared" si="95"/>
        <v>0</v>
      </c>
      <c r="X183" s="159">
        <f t="shared" si="95"/>
        <v>0</v>
      </c>
      <c r="Y183" s="159">
        <f>SUM(Y172:Y182)</f>
        <v>179074281.96000001</v>
      </c>
      <c r="Z183" s="159">
        <f>SUM(Z172:Z182)</f>
        <v>25115486.039999999</v>
      </c>
      <c r="AC183" s="155"/>
    </row>
    <row r="184" spans="1:29" x14ac:dyDescent="0.25">
      <c r="A184" s="191" t="s">
        <v>43</v>
      </c>
      <c r="B184" s="180" t="s">
        <v>46</v>
      </c>
      <c r="C184" s="180">
        <v>12</v>
      </c>
      <c r="D184" s="181">
        <v>8750000</v>
      </c>
      <c r="E184" s="182">
        <v>0</v>
      </c>
      <c r="F184" s="182">
        <v>0</v>
      </c>
      <c r="G184" s="182">
        <v>0</v>
      </c>
      <c r="H184" s="182">
        <v>0</v>
      </c>
      <c r="I184" s="182">
        <v>105000000</v>
      </c>
      <c r="J184" s="182">
        <v>0</v>
      </c>
      <c r="K184" s="182">
        <v>0</v>
      </c>
      <c r="L184" s="182">
        <v>0</v>
      </c>
      <c r="M184" s="182">
        <v>0</v>
      </c>
      <c r="N184" s="182">
        <f>SUM(E184:M184)</f>
        <v>105000000</v>
      </c>
      <c r="O184" s="182">
        <f>+Y184</f>
        <v>7680000</v>
      </c>
      <c r="P184" s="182">
        <f t="shared" si="94"/>
        <v>97320000</v>
      </c>
      <c r="Q184" s="257">
        <v>0</v>
      </c>
      <c r="R184" s="257">
        <v>720000</v>
      </c>
      <c r="S184" s="257">
        <v>1080000</v>
      </c>
      <c r="T184" s="257">
        <f>270000+180000+360000+720000+360000+270000+360000</f>
        <v>2520000</v>
      </c>
      <c r="U184" s="257">
        <f>360000*4+400000*3+720000</f>
        <v>3360000</v>
      </c>
      <c r="V184" s="182">
        <f t="shared" ref="V184:X184" si="96">+V185</f>
        <v>0</v>
      </c>
      <c r="W184" s="182">
        <f t="shared" si="96"/>
        <v>0</v>
      </c>
      <c r="X184" s="182">
        <f t="shared" si="96"/>
        <v>0</v>
      </c>
      <c r="Y184" s="182">
        <f>SUM(Q184:X184)</f>
        <v>7680000</v>
      </c>
      <c r="Z184" s="208">
        <f>O184-Y184</f>
        <v>0</v>
      </c>
    </row>
    <row r="185" spans="1:29" x14ac:dyDescent="0.25">
      <c r="A185" s="191" t="s">
        <v>45</v>
      </c>
      <c r="B185" s="180" t="s">
        <v>153</v>
      </c>
      <c r="C185" s="180">
        <v>1</v>
      </c>
      <c r="D185" s="181">
        <v>150000000</v>
      </c>
      <c r="E185" s="182"/>
      <c r="F185" s="182" t="s">
        <v>29</v>
      </c>
      <c r="G185" s="182"/>
      <c r="H185" s="182">
        <v>2000000</v>
      </c>
      <c r="I185" s="182"/>
      <c r="J185" s="182"/>
      <c r="K185" s="182"/>
      <c r="L185" s="182"/>
      <c r="M185" s="182"/>
      <c r="N185" s="182">
        <f>SUM(E185:M185)</f>
        <v>2000000</v>
      </c>
      <c r="O185" s="182"/>
      <c r="P185" s="182">
        <f t="shared" si="94"/>
        <v>2000000</v>
      </c>
      <c r="Q185" s="257">
        <v>0</v>
      </c>
      <c r="R185" s="257">
        <v>0</v>
      </c>
      <c r="S185" s="257">
        <v>0</v>
      </c>
      <c r="T185" s="257">
        <v>0</v>
      </c>
      <c r="U185" s="257">
        <v>0</v>
      </c>
      <c r="V185" s="182">
        <v>0</v>
      </c>
      <c r="W185" s="182">
        <v>0</v>
      </c>
      <c r="X185" s="182">
        <v>0</v>
      </c>
      <c r="Y185" s="182">
        <f>SUM(Q185:X185)</f>
        <v>0</v>
      </c>
      <c r="Z185" s="208">
        <f>O185-Y185</f>
        <v>0</v>
      </c>
    </row>
    <row r="186" spans="1:29" x14ac:dyDescent="0.25">
      <c r="A186" s="191" t="s">
        <v>44</v>
      </c>
      <c r="B186" s="180" t="s">
        <v>46</v>
      </c>
      <c r="C186" s="180">
        <v>1</v>
      </c>
      <c r="D186" s="181">
        <v>81837351</v>
      </c>
      <c r="E186" s="182">
        <v>0</v>
      </c>
      <c r="F186" s="182">
        <v>0</v>
      </c>
      <c r="G186" s="182">
        <v>0</v>
      </c>
      <c r="H186" s="182">
        <v>45313455</v>
      </c>
      <c r="I186" s="182"/>
      <c r="J186" s="182">
        <v>0</v>
      </c>
      <c r="K186" s="182"/>
      <c r="L186" s="182">
        <v>0</v>
      </c>
      <c r="M186" s="182">
        <v>0</v>
      </c>
      <c r="N186" s="182">
        <f>SUM(E186:M186)</f>
        <v>45313455</v>
      </c>
      <c r="O186" s="182"/>
      <c r="P186" s="182">
        <f>+N186-O187</f>
        <v>0</v>
      </c>
      <c r="Q186" s="257">
        <v>0</v>
      </c>
      <c r="R186" s="257">
        <v>0</v>
      </c>
      <c r="S186" s="257"/>
      <c r="T186" s="257"/>
      <c r="U186" s="257"/>
      <c r="V186" s="182">
        <v>0</v>
      </c>
      <c r="W186" s="182">
        <v>0</v>
      </c>
      <c r="X186" s="182">
        <v>0</v>
      </c>
      <c r="Y186" s="182">
        <f>SUM(Q186:X186)</f>
        <v>0</v>
      </c>
      <c r="Z186" s="208"/>
    </row>
    <row r="187" spans="1:29" x14ac:dyDescent="0.25">
      <c r="A187" s="94" t="s">
        <v>196</v>
      </c>
      <c r="B187" s="180"/>
      <c r="C187" s="180"/>
      <c r="D187" s="181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>
        <v>45313455</v>
      </c>
      <c r="P187" s="182"/>
      <c r="Q187" s="257"/>
      <c r="R187" s="257"/>
      <c r="S187" s="256">
        <f>+(12368738*6%)</f>
        <v>742124.28</v>
      </c>
      <c r="T187" s="256">
        <f>+(64193115*6%)</f>
        <v>3851586.9</v>
      </c>
      <c r="U187" s="256">
        <f>+(146115757*6%)</f>
        <v>8766945.4199999999</v>
      </c>
      <c r="V187" s="256">
        <f>+(99858064*6%)</f>
        <v>5991483.8399999999</v>
      </c>
      <c r="W187" s="182"/>
      <c r="X187" s="182"/>
      <c r="Y187" s="182">
        <f>SUM(Q187:X187)</f>
        <v>19352140.439999998</v>
      </c>
      <c r="Z187" s="208">
        <f>O187-Y187</f>
        <v>25961314.560000002</v>
      </c>
    </row>
    <row r="188" spans="1:29" x14ac:dyDescent="0.25">
      <c r="A188" s="191" t="s">
        <v>138</v>
      </c>
      <c r="B188" s="180" t="s">
        <v>46</v>
      </c>
      <c r="C188" s="180">
        <v>12</v>
      </c>
      <c r="D188" s="181">
        <v>3750000</v>
      </c>
      <c r="E188" s="182"/>
      <c r="F188" s="182"/>
      <c r="G188" s="182"/>
      <c r="H188" s="182"/>
      <c r="I188" s="182">
        <v>45000000</v>
      </c>
      <c r="J188" s="182"/>
      <c r="K188" s="182"/>
      <c r="L188" s="182"/>
      <c r="M188" s="182"/>
      <c r="N188" s="182">
        <f>SUM(E188:M188)</f>
        <v>45000000</v>
      </c>
      <c r="O188" s="182"/>
      <c r="P188" s="182">
        <f t="shared" si="94"/>
        <v>45000000</v>
      </c>
      <c r="Q188" s="257">
        <v>0</v>
      </c>
      <c r="R188" s="257">
        <v>0</v>
      </c>
      <c r="S188" s="257">
        <v>0</v>
      </c>
      <c r="T188" s="257">
        <v>0</v>
      </c>
      <c r="U188" s="257">
        <v>0</v>
      </c>
      <c r="V188" s="182">
        <v>0</v>
      </c>
      <c r="W188" s="182">
        <v>0</v>
      </c>
      <c r="X188" s="182">
        <v>0</v>
      </c>
      <c r="Y188" s="182">
        <f>SUM(Q188:X188)</f>
        <v>0</v>
      </c>
      <c r="Z188" s="208">
        <f>O188-Y188</f>
        <v>0</v>
      </c>
    </row>
    <row r="189" spans="1:29" x14ac:dyDescent="0.25">
      <c r="A189" s="156" t="s">
        <v>159</v>
      </c>
      <c r="B189" s="202"/>
      <c r="C189" s="202"/>
      <c r="D189" s="203"/>
      <c r="E189" s="215">
        <f>SUM(E184:E188)</f>
        <v>0</v>
      </c>
      <c r="F189" s="215">
        <f t="shared" ref="F189:M189" si="97">SUM(F184:F188)</f>
        <v>0</v>
      </c>
      <c r="G189" s="215">
        <f t="shared" si="97"/>
        <v>0</v>
      </c>
      <c r="H189" s="159">
        <f>+H184+H185+H186+H188</f>
        <v>47313455</v>
      </c>
      <c r="I189" s="159">
        <f>+I184+I185+I186+I188</f>
        <v>150000000</v>
      </c>
      <c r="J189" s="215">
        <f t="shared" si="97"/>
        <v>0</v>
      </c>
      <c r="K189" s="215">
        <f t="shared" si="97"/>
        <v>0</v>
      </c>
      <c r="L189" s="215">
        <f t="shared" si="97"/>
        <v>0</v>
      </c>
      <c r="M189" s="215">
        <f t="shared" si="97"/>
        <v>0</v>
      </c>
      <c r="N189" s="159">
        <f>+N184+N185+N186+N188</f>
        <v>197313455</v>
      </c>
      <c r="O189" s="159">
        <f>+O184+O185+O187+O188</f>
        <v>52993455</v>
      </c>
      <c r="P189" s="159">
        <f t="shared" ref="P189" si="98">+P184+P185+P186+P188</f>
        <v>144320000</v>
      </c>
      <c r="Q189" s="261">
        <f>SUM(Q184:Q188)</f>
        <v>0</v>
      </c>
      <c r="R189" s="261">
        <f t="shared" ref="R189:Z189" si="99">SUM(R184:R188)</f>
        <v>720000</v>
      </c>
      <c r="S189" s="261">
        <f>SUM(S184:S188)</f>
        <v>1822124.28</v>
      </c>
      <c r="T189" s="261">
        <f>SUM(T184:T188)</f>
        <v>6371586.9000000004</v>
      </c>
      <c r="U189" s="261">
        <f>SUM(U184:U188)</f>
        <v>12126945.42</v>
      </c>
      <c r="V189" s="159">
        <f t="shared" si="99"/>
        <v>5991483.8399999999</v>
      </c>
      <c r="W189" s="159">
        <f t="shared" si="99"/>
        <v>0</v>
      </c>
      <c r="X189" s="159">
        <f t="shared" si="99"/>
        <v>0</v>
      </c>
      <c r="Y189" s="159">
        <f>SUM(Y184:Y188)</f>
        <v>27032140.439999998</v>
      </c>
      <c r="Z189" s="159">
        <f t="shared" si="99"/>
        <v>25961314.560000002</v>
      </c>
    </row>
    <row r="190" spans="1:29" x14ac:dyDescent="0.25">
      <c r="A190" s="216" t="s">
        <v>111</v>
      </c>
      <c r="B190" s="162">
        <v>0</v>
      </c>
      <c r="C190" s="162">
        <v>0</v>
      </c>
      <c r="D190" s="163">
        <v>587500</v>
      </c>
      <c r="E190" s="165"/>
      <c r="F190" s="165">
        <v>0</v>
      </c>
      <c r="G190" s="165">
        <v>0</v>
      </c>
      <c r="H190" s="165">
        <v>857500</v>
      </c>
      <c r="I190" s="165">
        <v>0</v>
      </c>
      <c r="J190" s="165">
        <v>0</v>
      </c>
      <c r="K190" s="165">
        <v>0</v>
      </c>
      <c r="L190" s="165">
        <v>0</v>
      </c>
      <c r="M190" s="165">
        <v>0</v>
      </c>
      <c r="N190" s="165">
        <f>SUM(E190:M190)</f>
        <v>857500</v>
      </c>
      <c r="O190" s="165">
        <f>+Y190</f>
        <v>295260</v>
      </c>
      <c r="P190" s="165">
        <f>N190-O190</f>
        <v>562240</v>
      </c>
      <c r="Q190" s="265">
        <f>112000*6%</f>
        <v>6720</v>
      </c>
      <c r="R190" s="265">
        <f>(119000+119000)*6%</f>
        <v>14280</v>
      </c>
      <c r="S190" s="265">
        <f>(304500)*6%</f>
        <v>18270</v>
      </c>
      <c r="T190" s="265"/>
      <c r="U190" s="265">
        <f>(1431500+367500+931000+122500)*6%</f>
        <v>171150</v>
      </c>
      <c r="V190" s="265">
        <f>(1414000)*6%</f>
        <v>84840</v>
      </c>
      <c r="W190" s="165">
        <v>0</v>
      </c>
      <c r="X190" s="165">
        <v>0</v>
      </c>
      <c r="Y190" s="165">
        <f>SUM(Q190:X190)</f>
        <v>295260</v>
      </c>
      <c r="Z190" s="217">
        <f>O190-Y190</f>
        <v>0</v>
      </c>
      <c r="AB190" s="155"/>
    </row>
    <row r="191" spans="1:29" x14ac:dyDescent="0.25">
      <c r="A191" s="156" t="s">
        <v>25</v>
      </c>
      <c r="B191" s="202"/>
      <c r="C191" s="202"/>
      <c r="D191" s="203"/>
      <c r="E191" s="159"/>
      <c r="F191" s="159"/>
      <c r="G191" s="159"/>
      <c r="H191" s="159">
        <f>SUM(H190:H190)</f>
        <v>857500</v>
      </c>
      <c r="I191" s="159">
        <f>SUM(I190:I190)</f>
        <v>0</v>
      </c>
      <c r="J191" s="159"/>
      <c r="K191" s="159">
        <v>0</v>
      </c>
      <c r="L191" s="159">
        <v>0</v>
      </c>
      <c r="M191" s="159" t="e">
        <f>+M183+M185+M189+#REF!+#REF!</f>
        <v>#REF!</v>
      </c>
      <c r="N191" s="159">
        <f>SUM(N190:N190)</f>
        <v>857500</v>
      </c>
      <c r="O191" s="159">
        <f>+O190</f>
        <v>295260</v>
      </c>
      <c r="P191" s="159">
        <f>SUM(P190:P190)</f>
        <v>562240</v>
      </c>
      <c r="Q191" s="261">
        <f>+Q190</f>
        <v>6720</v>
      </c>
      <c r="R191" s="261">
        <f t="shared" ref="R191:Z191" si="100">+R190</f>
        <v>14280</v>
      </c>
      <c r="S191" s="261">
        <f t="shared" si="100"/>
        <v>18270</v>
      </c>
      <c r="T191" s="261">
        <f t="shared" si="100"/>
        <v>0</v>
      </c>
      <c r="U191" s="261">
        <f t="shared" si="100"/>
        <v>171150</v>
      </c>
      <c r="V191" s="159">
        <f t="shared" si="100"/>
        <v>84840</v>
      </c>
      <c r="W191" s="159">
        <f t="shared" si="100"/>
        <v>0</v>
      </c>
      <c r="X191" s="159">
        <f t="shared" si="100"/>
        <v>0</v>
      </c>
      <c r="Y191" s="159">
        <f t="shared" si="100"/>
        <v>295260</v>
      </c>
      <c r="Z191" s="159">
        <f t="shared" si="100"/>
        <v>0</v>
      </c>
    </row>
    <row r="192" spans="1:29" x14ac:dyDescent="0.25">
      <c r="A192" s="156" t="s">
        <v>101</v>
      </c>
      <c r="B192" s="202"/>
      <c r="C192" s="202"/>
      <c r="D192" s="203"/>
      <c r="E192" s="159"/>
      <c r="F192" s="159"/>
      <c r="G192" s="159"/>
      <c r="H192" s="159">
        <f>H170+H139+H183+H189+H191</f>
        <v>549603455</v>
      </c>
      <c r="I192" s="159">
        <f>I170+I139+I183+I189+I191</f>
        <v>841486313</v>
      </c>
      <c r="J192" s="159"/>
      <c r="K192" s="159">
        <v>0</v>
      </c>
      <c r="L192" s="159">
        <v>0</v>
      </c>
      <c r="M192" s="159"/>
      <c r="N192" s="159">
        <f t="shared" ref="N192:Z192" si="101">N170+N139+N183+N189+N191</f>
        <v>1391089768</v>
      </c>
      <c r="O192" s="159">
        <f t="shared" si="101"/>
        <v>437852683</v>
      </c>
      <c r="P192" s="159">
        <f>P170+P139+P183+P189+P191</f>
        <v>953237085</v>
      </c>
      <c r="Q192" s="261">
        <f t="shared" si="101"/>
        <v>180964554.75</v>
      </c>
      <c r="R192" s="261">
        <f t="shared" si="101"/>
        <v>4749980</v>
      </c>
      <c r="S192" s="261">
        <f t="shared" si="101"/>
        <v>6990094.2800000003</v>
      </c>
      <c r="T192" s="261">
        <f t="shared" si="101"/>
        <v>21498956.5</v>
      </c>
      <c r="U192" s="261">
        <f>U170+U139+U183+U189+U191</f>
        <v>39529185.979999997</v>
      </c>
      <c r="V192" s="159">
        <f t="shared" si="101"/>
        <v>34905147.640000001</v>
      </c>
      <c r="W192" s="159">
        <f t="shared" si="101"/>
        <v>0</v>
      </c>
      <c r="X192" s="159">
        <f t="shared" si="101"/>
        <v>0</v>
      </c>
      <c r="Y192" s="159">
        <f t="shared" si="101"/>
        <v>288637919.14999998</v>
      </c>
      <c r="Z192" s="159">
        <f t="shared" si="101"/>
        <v>149214763.84999999</v>
      </c>
    </row>
    <row r="193" spans="1:28" ht="15" customHeight="1" x14ac:dyDescent="0.25">
      <c r="A193" s="205" t="s">
        <v>160</v>
      </c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64"/>
      <c r="R193" s="264"/>
      <c r="S193" s="264"/>
      <c r="T193" s="264"/>
      <c r="U193" s="264"/>
      <c r="V193" s="206"/>
      <c r="W193" s="206"/>
      <c r="X193" s="206"/>
      <c r="Y193" s="206"/>
      <c r="Z193" s="207"/>
      <c r="AA193" s="155"/>
    </row>
    <row r="194" spans="1:28" x14ac:dyDescent="0.25">
      <c r="A194" s="218" t="s">
        <v>154</v>
      </c>
      <c r="B194" s="219">
        <v>3</v>
      </c>
      <c r="C194" s="219">
        <v>9</v>
      </c>
      <c r="D194" s="220">
        <v>3030000</v>
      </c>
      <c r="E194" s="221"/>
      <c r="F194" s="221"/>
      <c r="G194" s="221"/>
      <c r="H194" s="221"/>
      <c r="I194" s="221"/>
      <c r="J194" s="221"/>
      <c r="K194" s="222">
        <v>81810000</v>
      </c>
      <c r="L194" s="221"/>
      <c r="M194" s="221"/>
      <c r="N194" s="222">
        <f>SUM(E194:M194)</f>
        <v>81810000</v>
      </c>
      <c r="O194" s="222">
        <f>SUM(O195:O197)</f>
        <v>77265000</v>
      </c>
      <c r="P194" s="222">
        <f>N194-O194</f>
        <v>4545000</v>
      </c>
      <c r="Q194" s="266">
        <f>SUM(Q195:Q197)</f>
        <v>0</v>
      </c>
      <c r="R194" s="267">
        <f t="shared" ref="R194:Z194" si="102">SUM(R195:R197)</f>
        <v>0</v>
      </c>
      <c r="S194" s="267">
        <f t="shared" si="102"/>
        <v>0</v>
      </c>
      <c r="T194" s="267">
        <f t="shared" si="102"/>
        <v>1616000</v>
      </c>
      <c r="U194" s="267">
        <f t="shared" si="102"/>
        <v>5252000</v>
      </c>
      <c r="V194" s="223">
        <f t="shared" si="102"/>
        <v>9090000</v>
      </c>
      <c r="W194" s="223">
        <f t="shared" si="102"/>
        <v>0</v>
      </c>
      <c r="X194" s="223">
        <f t="shared" si="102"/>
        <v>0</v>
      </c>
      <c r="Y194" s="223">
        <f t="shared" si="102"/>
        <v>15958000</v>
      </c>
      <c r="Z194" s="223">
        <f t="shared" si="102"/>
        <v>61307000</v>
      </c>
    </row>
    <row r="195" spans="1:28" x14ac:dyDescent="0.25">
      <c r="A195" s="99" t="s">
        <v>187</v>
      </c>
      <c r="B195" s="169">
        <v>1</v>
      </c>
      <c r="C195" s="169">
        <v>9</v>
      </c>
      <c r="D195" s="170">
        <v>3030000</v>
      </c>
      <c r="E195" s="173"/>
      <c r="F195" s="173"/>
      <c r="G195" s="173"/>
      <c r="H195" s="173"/>
      <c r="I195" s="173"/>
      <c r="J195" s="173"/>
      <c r="K195" s="182">
        <f>+B195*C195*D195</f>
        <v>27270000</v>
      </c>
      <c r="L195" s="173"/>
      <c r="M195" s="173"/>
      <c r="N195" s="189"/>
      <c r="O195" s="182">
        <f>+B195*C195*D195</f>
        <v>27270000</v>
      </c>
      <c r="P195" s="189"/>
      <c r="Q195" s="268"/>
      <c r="R195" s="268"/>
      <c r="S195" s="268"/>
      <c r="T195" s="268">
        <v>1616000</v>
      </c>
      <c r="U195" s="268">
        <v>3030000</v>
      </c>
      <c r="V195" s="182">
        <v>3030000</v>
      </c>
      <c r="W195" s="182"/>
      <c r="X195" s="182"/>
      <c r="Y195" s="182">
        <f>SUM(Q195:X195)</f>
        <v>7676000</v>
      </c>
      <c r="Z195" s="208">
        <f>O195-Y195</f>
        <v>19594000</v>
      </c>
    </row>
    <row r="196" spans="1:28" x14ac:dyDescent="0.25">
      <c r="A196" s="99" t="s">
        <v>224</v>
      </c>
      <c r="B196" s="169">
        <v>1</v>
      </c>
      <c r="C196" s="169">
        <v>9</v>
      </c>
      <c r="D196" s="170">
        <v>3030000</v>
      </c>
      <c r="E196" s="173"/>
      <c r="F196" s="173"/>
      <c r="G196" s="173"/>
      <c r="H196" s="173"/>
      <c r="I196" s="173"/>
      <c r="J196" s="173"/>
      <c r="K196" s="182">
        <v>27270000</v>
      </c>
      <c r="L196" s="173"/>
      <c r="M196" s="173"/>
      <c r="N196" s="189"/>
      <c r="O196" s="182">
        <v>27270000</v>
      </c>
      <c r="P196" s="189"/>
      <c r="Q196" s="268"/>
      <c r="R196" s="268"/>
      <c r="S196" s="268"/>
      <c r="T196" s="268"/>
      <c r="U196" s="268">
        <v>1818000</v>
      </c>
      <c r="V196" s="182">
        <v>3030000</v>
      </c>
      <c r="W196" s="182"/>
      <c r="X196" s="182"/>
      <c r="Y196" s="182">
        <f>SUM(Q196:X196)</f>
        <v>4848000</v>
      </c>
      <c r="Z196" s="208">
        <f>O196-Y196</f>
        <v>22422000</v>
      </c>
    </row>
    <row r="197" spans="1:28" x14ac:dyDescent="0.25">
      <c r="A197" s="191" t="s">
        <v>229</v>
      </c>
      <c r="B197" s="169">
        <v>1</v>
      </c>
      <c r="C197" s="169">
        <v>7.5</v>
      </c>
      <c r="D197" s="170">
        <v>3030000</v>
      </c>
      <c r="E197" s="173"/>
      <c r="F197" s="173"/>
      <c r="G197" s="173"/>
      <c r="H197" s="173"/>
      <c r="I197" s="173"/>
      <c r="J197" s="173"/>
      <c r="K197" s="182">
        <f t="shared" ref="K197" si="103">+B197*C197*D197</f>
        <v>22725000</v>
      </c>
      <c r="L197" s="173"/>
      <c r="M197" s="173"/>
      <c r="N197" s="189"/>
      <c r="O197" s="182">
        <f t="shared" ref="O197" si="104">+B197*C197*D197</f>
        <v>22725000</v>
      </c>
      <c r="P197" s="189"/>
      <c r="Q197" s="268"/>
      <c r="R197" s="268"/>
      <c r="S197" s="268"/>
      <c r="T197" s="268"/>
      <c r="U197" s="268">
        <v>404000</v>
      </c>
      <c r="V197" s="182">
        <v>3030000</v>
      </c>
      <c r="W197" s="182"/>
      <c r="X197" s="182"/>
      <c r="Y197" s="182">
        <f>SUM(Q197:X197)</f>
        <v>3434000</v>
      </c>
      <c r="Z197" s="208">
        <f>O197-Y197</f>
        <v>19291000</v>
      </c>
    </row>
    <row r="198" spans="1:28" x14ac:dyDescent="0.25">
      <c r="A198" s="191"/>
      <c r="B198" s="169"/>
      <c r="C198" s="169"/>
      <c r="D198" s="170"/>
      <c r="E198" s="173"/>
      <c r="F198" s="173"/>
      <c r="G198" s="173"/>
      <c r="H198" s="173"/>
      <c r="I198" s="173"/>
      <c r="J198" s="173"/>
      <c r="K198" s="182"/>
      <c r="L198" s="173"/>
      <c r="M198" s="173"/>
      <c r="N198" s="189"/>
      <c r="O198" s="189"/>
      <c r="P198" s="189"/>
      <c r="Q198" s="268"/>
      <c r="R198" s="268"/>
      <c r="S198" s="268"/>
      <c r="T198" s="268"/>
      <c r="U198" s="268"/>
      <c r="V198" s="182"/>
      <c r="W198" s="182"/>
      <c r="X198" s="182"/>
      <c r="Y198" s="182"/>
      <c r="Z198" s="208"/>
    </row>
    <row r="199" spans="1:28" x14ac:dyDescent="0.25">
      <c r="A199" s="216" t="s">
        <v>139</v>
      </c>
      <c r="B199" s="162" t="s">
        <v>46</v>
      </c>
      <c r="C199" s="162">
        <v>10</v>
      </c>
      <c r="D199" s="163">
        <v>96749879.519999996</v>
      </c>
      <c r="E199" s="165"/>
      <c r="F199" s="165"/>
      <c r="G199" s="165"/>
      <c r="H199" s="165"/>
      <c r="I199" s="165"/>
      <c r="J199" s="165"/>
      <c r="K199" s="165"/>
      <c r="L199" s="165">
        <v>2206826526</v>
      </c>
      <c r="M199" s="173"/>
      <c r="N199" s="166">
        <f>SUM(E199:M199)</f>
        <v>2206826526</v>
      </c>
      <c r="O199" s="166">
        <f>+Y199</f>
        <v>1324095917.2</v>
      </c>
      <c r="P199" s="166">
        <f>N199-O199</f>
        <v>882730608.79999995</v>
      </c>
      <c r="Q199" s="269">
        <f>+L199/10</f>
        <v>220682652.59999999</v>
      </c>
      <c r="R199" s="269">
        <f>+L199/10</f>
        <v>220682652.59999999</v>
      </c>
      <c r="S199" s="269">
        <v>220682653</v>
      </c>
      <c r="T199" s="269">
        <v>220682653</v>
      </c>
      <c r="U199" s="269">
        <v>220682653</v>
      </c>
      <c r="V199" s="166">
        <v>220682653</v>
      </c>
      <c r="W199" s="165"/>
      <c r="X199" s="165"/>
      <c r="Y199" s="166">
        <f>SUM(Q199:X199)</f>
        <v>1324095917.2</v>
      </c>
      <c r="Z199" s="208">
        <f>O199-Y199</f>
        <v>0</v>
      </c>
    </row>
    <row r="200" spans="1:28" x14ac:dyDescent="0.25">
      <c r="A200" s="191"/>
      <c r="B200" s="177"/>
      <c r="C200" s="177"/>
      <c r="D200" s="171"/>
      <c r="E200" s="173"/>
      <c r="F200" s="173"/>
      <c r="G200" s="173"/>
      <c r="H200" s="173"/>
      <c r="I200" s="173"/>
      <c r="J200" s="173"/>
      <c r="K200" s="173"/>
      <c r="L200" s="173"/>
      <c r="M200" s="173"/>
      <c r="N200" s="182"/>
      <c r="O200" s="189"/>
      <c r="P200" s="189"/>
      <c r="Q200" s="268"/>
      <c r="R200" s="268"/>
      <c r="S200" s="268"/>
      <c r="T200" s="268"/>
      <c r="U200" s="268"/>
      <c r="V200" s="182"/>
      <c r="W200" s="182"/>
      <c r="X200" s="182"/>
      <c r="Y200" s="189"/>
      <c r="Z200" s="208"/>
    </row>
    <row r="201" spans="1:28" x14ac:dyDescent="0.25">
      <c r="A201" s="216" t="s">
        <v>47</v>
      </c>
      <c r="B201" s="162" t="s">
        <v>50</v>
      </c>
      <c r="C201" s="162">
        <v>12</v>
      </c>
      <c r="D201" s="163">
        <v>29676936</v>
      </c>
      <c r="E201" s="165"/>
      <c r="F201" s="165"/>
      <c r="G201" s="165"/>
      <c r="H201" s="165"/>
      <c r="I201" s="165"/>
      <c r="J201" s="165"/>
      <c r="K201" s="165"/>
      <c r="L201" s="165">
        <v>356123232</v>
      </c>
      <c r="M201" s="165"/>
      <c r="N201" s="166">
        <f>SUM(E201:M201)</f>
        <v>356123232</v>
      </c>
      <c r="O201" s="166">
        <f>+Y201</f>
        <v>178061616</v>
      </c>
      <c r="P201" s="166">
        <f>N201-O201</f>
        <v>178061616</v>
      </c>
      <c r="Q201" s="269">
        <v>29676936</v>
      </c>
      <c r="R201" s="269">
        <v>29676936</v>
      </c>
      <c r="S201" s="269">
        <v>29676936</v>
      </c>
      <c r="T201" s="269">
        <v>29676936</v>
      </c>
      <c r="U201" s="269">
        <v>29676936</v>
      </c>
      <c r="V201" s="166">
        <v>29676936</v>
      </c>
      <c r="W201" s="165"/>
      <c r="X201" s="165"/>
      <c r="Y201" s="166">
        <f>SUM(Q201:X201)</f>
        <v>178061616</v>
      </c>
      <c r="Z201" s="217">
        <f>O201-Y201</f>
        <v>0</v>
      </c>
      <c r="AB201" s="155"/>
    </row>
    <row r="202" spans="1:28" x14ac:dyDescent="0.25">
      <c r="A202" s="191"/>
      <c r="B202" s="177"/>
      <c r="C202" s="177"/>
      <c r="D202" s="171"/>
      <c r="E202" s="173"/>
      <c r="F202" s="173"/>
      <c r="G202" s="173"/>
      <c r="H202" s="173"/>
      <c r="I202" s="173"/>
      <c r="J202" s="173"/>
      <c r="K202" s="173"/>
      <c r="L202" s="173"/>
      <c r="M202" s="173"/>
      <c r="N202" s="189"/>
      <c r="O202" s="189"/>
      <c r="P202" s="189"/>
      <c r="Q202" s="270"/>
      <c r="R202" s="270"/>
      <c r="S202" s="270"/>
      <c r="T202" s="268"/>
      <c r="U202" s="268"/>
      <c r="V202" s="182"/>
      <c r="W202" s="182"/>
      <c r="X202" s="182"/>
      <c r="Y202" s="189"/>
      <c r="Z202" s="208"/>
    </row>
    <row r="203" spans="1:28" x14ac:dyDescent="0.25">
      <c r="A203" s="216" t="s">
        <v>48</v>
      </c>
      <c r="B203" s="162" t="s">
        <v>46</v>
      </c>
      <c r="C203" s="162">
        <v>1</v>
      </c>
      <c r="D203" s="163">
        <v>0</v>
      </c>
      <c r="E203" s="165">
        <v>0</v>
      </c>
      <c r="F203" s="165"/>
      <c r="G203" s="165"/>
      <c r="H203" s="165"/>
      <c r="I203" s="165"/>
      <c r="J203" s="165"/>
      <c r="K203" s="165"/>
      <c r="L203" s="165">
        <v>150231839</v>
      </c>
      <c r="M203" s="165"/>
      <c r="N203" s="166">
        <f>SUM(E203:M203)</f>
        <v>150231839</v>
      </c>
      <c r="O203" s="166">
        <f>+Y203</f>
        <v>75115919.833333328</v>
      </c>
      <c r="P203" s="166">
        <f>N203-O203</f>
        <v>75115919.166666672</v>
      </c>
      <c r="Q203" s="269">
        <v>12519319.916666666</v>
      </c>
      <c r="R203" s="269">
        <v>12519319.916666666</v>
      </c>
      <c r="S203" s="269">
        <v>12519320</v>
      </c>
      <c r="T203" s="269">
        <v>12519320</v>
      </c>
      <c r="U203" s="269">
        <v>12519320</v>
      </c>
      <c r="V203" s="166">
        <v>12519320</v>
      </c>
      <c r="W203" s="165">
        <f t="shared" ref="W203:X203" si="105">+W207</f>
        <v>0</v>
      </c>
      <c r="X203" s="165">
        <f t="shared" si="105"/>
        <v>0</v>
      </c>
      <c r="Y203" s="166">
        <f>SUM(Q203:X203)</f>
        <v>75115919.833333328</v>
      </c>
      <c r="Z203" s="217">
        <f>O203-Y203</f>
        <v>0</v>
      </c>
    </row>
    <row r="204" spans="1:28" s="137" customFormat="1" x14ac:dyDescent="0.25">
      <c r="A204" s="191"/>
      <c r="B204" s="180"/>
      <c r="C204" s="180"/>
      <c r="D204" s="181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9"/>
      <c r="P204" s="189"/>
      <c r="Q204" s="268"/>
      <c r="R204" s="268"/>
      <c r="S204" s="268"/>
      <c r="T204" s="268"/>
      <c r="U204" s="268"/>
      <c r="V204" s="182"/>
      <c r="W204" s="182"/>
      <c r="X204" s="182"/>
      <c r="Y204" s="189"/>
      <c r="Z204" s="208"/>
    </row>
    <row r="205" spans="1:28" x14ac:dyDescent="0.25">
      <c r="A205" s="216" t="s">
        <v>80</v>
      </c>
      <c r="B205" s="162"/>
      <c r="C205" s="162"/>
      <c r="D205" s="163"/>
      <c r="E205" s="165"/>
      <c r="F205" s="165"/>
      <c r="G205" s="165"/>
      <c r="H205" s="165"/>
      <c r="I205" s="165"/>
      <c r="J205" s="165"/>
      <c r="K205" s="165"/>
      <c r="L205" s="165">
        <v>2900000</v>
      </c>
      <c r="M205" s="165"/>
      <c r="N205" s="166">
        <f>+L205</f>
        <v>2900000</v>
      </c>
      <c r="O205" s="166">
        <f>+Y205</f>
        <v>906216</v>
      </c>
      <c r="P205" s="166">
        <f>N205-O205</f>
        <v>1993784</v>
      </c>
      <c r="Q205" s="271"/>
      <c r="R205" s="271"/>
      <c r="S205" s="271"/>
      <c r="T205" s="271"/>
      <c r="U205" s="269">
        <v>906216</v>
      </c>
      <c r="V205" s="165"/>
      <c r="W205" s="165"/>
      <c r="X205" s="165"/>
      <c r="Y205" s="166">
        <f>SUM(Q205:X205)</f>
        <v>906216</v>
      </c>
      <c r="Z205" s="217">
        <f>O205-Y205</f>
        <v>0</v>
      </c>
    </row>
    <row r="206" spans="1:28" s="137" customFormat="1" x14ac:dyDescent="0.25">
      <c r="A206" s="191"/>
      <c r="B206" s="180"/>
      <c r="C206" s="180"/>
      <c r="D206" s="181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9"/>
      <c r="P206" s="189"/>
      <c r="Q206" s="268"/>
      <c r="R206" s="268"/>
      <c r="S206" s="268"/>
      <c r="T206" s="268"/>
      <c r="U206" s="268"/>
      <c r="V206" s="182"/>
      <c r="W206" s="182"/>
      <c r="X206" s="182"/>
      <c r="Y206" s="189"/>
      <c r="Z206" s="208"/>
    </row>
    <row r="207" spans="1:28" s="137" customFormat="1" x14ac:dyDescent="0.25">
      <c r="A207" s="216" t="s">
        <v>155</v>
      </c>
      <c r="B207" s="162"/>
      <c r="C207" s="162"/>
      <c r="D207" s="163"/>
      <c r="E207" s="165"/>
      <c r="F207" s="165"/>
      <c r="G207" s="165"/>
      <c r="H207" s="165"/>
      <c r="I207" s="165"/>
      <c r="J207" s="165"/>
      <c r="K207" s="165"/>
      <c r="L207" s="165">
        <v>34000000</v>
      </c>
      <c r="M207" s="165"/>
      <c r="N207" s="166">
        <f>+L207</f>
        <v>34000000</v>
      </c>
      <c r="O207" s="166">
        <f>+Y207</f>
        <v>20265062</v>
      </c>
      <c r="P207" s="166">
        <f>N207-O207</f>
        <v>13734938</v>
      </c>
      <c r="Q207" s="271">
        <v>0</v>
      </c>
      <c r="R207" s="271">
        <v>0</v>
      </c>
      <c r="S207" s="271"/>
      <c r="T207" s="271"/>
      <c r="U207" s="269">
        <v>20265062</v>
      </c>
      <c r="V207" s="163"/>
      <c r="W207" s="163"/>
      <c r="X207" s="163"/>
      <c r="Y207" s="166">
        <f>SUM(Q207:X207)</f>
        <v>20265062</v>
      </c>
      <c r="Z207" s="217">
        <f>O207-Y207</f>
        <v>0</v>
      </c>
    </row>
    <row r="208" spans="1:28" s="137" customFormat="1" x14ac:dyDescent="0.25">
      <c r="A208" s="216" t="s">
        <v>140</v>
      </c>
      <c r="B208" s="162" t="s">
        <v>46</v>
      </c>
      <c r="C208" s="162">
        <v>1</v>
      </c>
      <c r="D208" s="165">
        <v>5600000</v>
      </c>
      <c r="E208" s="165"/>
      <c r="F208" s="165"/>
      <c r="G208" s="165"/>
      <c r="H208" s="165"/>
      <c r="I208" s="165"/>
      <c r="J208" s="165"/>
      <c r="K208" s="166">
        <v>5600000</v>
      </c>
      <c r="L208" s="165"/>
      <c r="M208" s="165"/>
      <c r="N208" s="166">
        <f>SUM(E208:M208)</f>
        <v>5600000</v>
      </c>
      <c r="O208" s="166">
        <f>+Y208</f>
        <v>2066217</v>
      </c>
      <c r="P208" s="166">
        <f>N208-O208</f>
        <v>3533783</v>
      </c>
      <c r="Q208" s="269">
        <f>+Q209</f>
        <v>374716</v>
      </c>
      <c r="R208" s="269">
        <f>R209</f>
        <v>329676</v>
      </c>
      <c r="S208" s="269">
        <f>S209</f>
        <v>326060</v>
      </c>
      <c r="T208" s="269">
        <f>T209</f>
        <v>330070</v>
      </c>
      <c r="U208" s="269">
        <f>U209</f>
        <v>343110</v>
      </c>
      <c r="V208" s="166">
        <f>+V209</f>
        <v>362585</v>
      </c>
      <c r="W208" s="165">
        <f>+W209</f>
        <v>0</v>
      </c>
      <c r="X208" s="165">
        <f>+X209</f>
        <v>0</v>
      </c>
      <c r="Y208" s="166">
        <f>SUM(Q208:X208)</f>
        <v>2066217</v>
      </c>
      <c r="Z208" s="217">
        <f>O208-Y208</f>
        <v>0</v>
      </c>
    </row>
    <row r="209" spans="1:29" s="137" customFormat="1" x14ac:dyDescent="0.25">
      <c r="A209" s="191"/>
      <c r="B209" s="180"/>
      <c r="C209" s="180"/>
      <c r="D209" s="181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268">
        <v>374716</v>
      </c>
      <c r="R209" s="268">
        <v>329676</v>
      </c>
      <c r="S209" s="268">
        <v>326060</v>
      </c>
      <c r="T209" s="268">
        <v>330070</v>
      </c>
      <c r="U209" s="268">
        <v>343110</v>
      </c>
      <c r="V209" s="181">
        <v>362585</v>
      </c>
      <c r="W209" s="181"/>
      <c r="X209" s="181"/>
      <c r="Y209" s="182"/>
      <c r="Z209" s="208"/>
    </row>
    <row r="210" spans="1:29" x14ac:dyDescent="0.25">
      <c r="A210" s="216" t="s">
        <v>49</v>
      </c>
      <c r="B210" s="162"/>
      <c r="C210" s="162"/>
      <c r="D210" s="163"/>
      <c r="E210" s="165">
        <v>0</v>
      </c>
      <c r="F210" s="165">
        <v>0</v>
      </c>
      <c r="G210" s="165">
        <v>0</v>
      </c>
      <c r="H210" s="165">
        <v>0</v>
      </c>
      <c r="I210" s="165">
        <v>0</v>
      </c>
      <c r="J210" s="165">
        <v>0</v>
      </c>
      <c r="K210" s="165">
        <v>0</v>
      </c>
      <c r="L210" s="165">
        <v>0</v>
      </c>
      <c r="M210" s="165">
        <v>0</v>
      </c>
      <c r="N210" s="165">
        <f>SUM(E210:M210)</f>
        <v>0</v>
      </c>
      <c r="O210" s="165">
        <v>0</v>
      </c>
      <c r="P210" s="165">
        <f>N210-O210</f>
        <v>0</v>
      </c>
      <c r="Q210" s="265">
        <f>+Q211</f>
        <v>0</v>
      </c>
      <c r="R210" s="265">
        <f>+R211</f>
        <v>0</v>
      </c>
      <c r="S210" s="265">
        <f>+S211</f>
        <v>0</v>
      </c>
      <c r="T210" s="265">
        <f t="shared" ref="T210:X210" si="106">+T211</f>
        <v>0</v>
      </c>
      <c r="U210" s="265">
        <f t="shared" si="106"/>
        <v>0</v>
      </c>
      <c r="V210" s="165">
        <f t="shared" si="106"/>
        <v>0</v>
      </c>
      <c r="W210" s="165">
        <f t="shared" si="106"/>
        <v>0</v>
      </c>
      <c r="X210" s="165">
        <f t="shared" si="106"/>
        <v>0</v>
      </c>
      <c r="Y210" s="165">
        <f>SUM(Q210:X210)</f>
        <v>0</v>
      </c>
      <c r="Z210" s="217">
        <f>O210-Y210</f>
        <v>0</v>
      </c>
      <c r="AC210" s="175"/>
    </row>
    <row r="211" spans="1:29" x14ac:dyDescent="0.25">
      <c r="A211" s="224"/>
      <c r="B211" s="177"/>
      <c r="C211" s="177"/>
      <c r="D211" s="171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256"/>
      <c r="R211" s="256"/>
      <c r="S211" s="256"/>
      <c r="T211" s="256"/>
      <c r="U211" s="256"/>
      <c r="V211" s="172"/>
      <c r="W211" s="172"/>
      <c r="X211" s="172"/>
      <c r="Y211" s="182"/>
      <c r="Z211" s="194"/>
    </row>
    <row r="212" spans="1:29" x14ac:dyDescent="0.25">
      <c r="A212" s="156" t="s">
        <v>25</v>
      </c>
      <c r="B212" s="202"/>
      <c r="C212" s="202"/>
      <c r="D212" s="203"/>
      <c r="E212" s="159"/>
      <c r="F212" s="159"/>
      <c r="G212" s="159" t="e">
        <f>+#REF!+#REF!+#REF!+#REF!+G210</f>
        <v>#REF!</v>
      </c>
      <c r="H212" s="159"/>
      <c r="I212" s="159"/>
      <c r="J212" s="159" t="e">
        <f>+#REF!+#REF!+#REF!+#REF!+J210</f>
        <v>#REF!</v>
      </c>
      <c r="K212" s="159">
        <f>+K194+K208</f>
        <v>87410000</v>
      </c>
      <c r="L212" s="159">
        <f>SUM(L199:L211)</f>
        <v>2750081597</v>
      </c>
      <c r="M212" s="159" t="e">
        <f>+#REF!+#REF!+#REF!+#REF!+M210</f>
        <v>#REF!</v>
      </c>
      <c r="N212" s="159">
        <f>SUM(N194:N211)</f>
        <v>2837491597</v>
      </c>
      <c r="O212" s="159">
        <f>+O194+O208+O203+O201+O199+O207+O205</f>
        <v>1677775948.0333333</v>
      </c>
      <c r="P212" s="159">
        <f>SUM(P194:P210)</f>
        <v>1159715648.9666667</v>
      </c>
      <c r="Q212" s="261">
        <f>+Q208+Q203+Q201+Q199+Q194+Q205+Q207</f>
        <v>263253624.51666665</v>
      </c>
      <c r="R212" s="261">
        <f t="shared" ref="R212:X212" si="107">+R208+R203+R201+R199+R194+R205+R207</f>
        <v>263208584.51666665</v>
      </c>
      <c r="S212" s="261">
        <f t="shared" si="107"/>
        <v>263204969</v>
      </c>
      <c r="T212" s="261">
        <f t="shared" si="107"/>
        <v>264824979</v>
      </c>
      <c r="U212" s="261">
        <f>+U208+U203+U201+U199+U194+U205+U207</f>
        <v>289645297</v>
      </c>
      <c r="V212" s="159">
        <f>+V208+V203+V201+V199+V194+V205+V207</f>
        <v>272331494</v>
      </c>
      <c r="W212" s="159">
        <f t="shared" si="107"/>
        <v>0</v>
      </c>
      <c r="X212" s="159">
        <f t="shared" si="107"/>
        <v>0</v>
      </c>
      <c r="Y212" s="159">
        <f>+Y208+Y203+Y201+Y199+Y194+Y205+Y207</f>
        <v>1616468948.0333333</v>
      </c>
      <c r="Z212" s="159">
        <f>+Z208+Z203+Z201+Z199+Z194+Z205+Z207</f>
        <v>61307000</v>
      </c>
    </row>
    <row r="213" spans="1:29" x14ac:dyDescent="0.25">
      <c r="A213" s="156" t="s">
        <v>103</v>
      </c>
      <c r="B213" s="202"/>
      <c r="C213" s="202"/>
      <c r="D213" s="203"/>
      <c r="E213" s="159"/>
      <c r="F213" s="159"/>
      <c r="G213" s="159"/>
      <c r="H213" s="159"/>
      <c r="I213" s="159"/>
      <c r="J213" s="159"/>
      <c r="K213" s="159">
        <f>+K212</f>
        <v>87410000</v>
      </c>
      <c r="L213" s="159">
        <f>L212+L132+L125</f>
        <v>2750081597</v>
      </c>
      <c r="M213" s="159"/>
      <c r="N213" s="159">
        <f>+N212</f>
        <v>2837491597</v>
      </c>
      <c r="O213" s="159">
        <f>+O212</f>
        <v>1677775948.0333333</v>
      </c>
      <c r="P213" s="159">
        <f>+P212</f>
        <v>1159715648.9666667</v>
      </c>
      <c r="Q213" s="261">
        <f t="shared" ref="Q213:S213" si="108">+Q212</f>
        <v>263253624.51666665</v>
      </c>
      <c r="R213" s="261">
        <f t="shared" si="108"/>
        <v>263208584.51666665</v>
      </c>
      <c r="S213" s="261">
        <f t="shared" si="108"/>
        <v>263204969</v>
      </c>
      <c r="T213" s="261">
        <f>+T212</f>
        <v>264824979</v>
      </c>
      <c r="U213" s="261">
        <f>+U212</f>
        <v>289645297</v>
      </c>
      <c r="V213" s="261">
        <f>+V212</f>
        <v>272331494</v>
      </c>
      <c r="W213" s="261">
        <f t="shared" ref="W213:X213" si="109">+W212</f>
        <v>0</v>
      </c>
      <c r="X213" s="261">
        <f t="shared" si="109"/>
        <v>0</v>
      </c>
      <c r="Y213" s="159">
        <f>+Y212</f>
        <v>1616468948.0333333</v>
      </c>
      <c r="Z213" s="195">
        <f>O213-Y213</f>
        <v>61307000</v>
      </c>
      <c r="AA213" s="155"/>
      <c r="AB213" s="155"/>
    </row>
    <row r="214" spans="1:29" x14ac:dyDescent="0.25">
      <c r="A214" s="156" t="s">
        <v>60</v>
      </c>
      <c r="B214" s="202"/>
      <c r="C214" s="202"/>
      <c r="D214" s="203"/>
      <c r="E214" s="159">
        <f>E136+E203</f>
        <v>5061050262.132</v>
      </c>
      <c r="F214" s="159">
        <f>F136</f>
        <v>252150000</v>
      </c>
      <c r="G214" s="159"/>
      <c r="H214" s="159">
        <f>H192</f>
        <v>549603455</v>
      </c>
      <c r="I214" s="159">
        <f>I192</f>
        <v>841486313</v>
      </c>
      <c r="J214" s="159"/>
      <c r="K214" s="159">
        <f>K213</f>
        <v>87410000</v>
      </c>
      <c r="L214" s="159">
        <f>L213</f>
        <v>2750081597</v>
      </c>
      <c r="M214" s="159"/>
      <c r="N214" s="159">
        <f t="shared" ref="N214:Z214" si="110">N136+N192+N213</f>
        <v>9541781627.132</v>
      </c>
      <c r="O214" s="159">
        <f t="shared" si="110"/>
        <v>4697435780.1973333</v>
      </c>
      <c r="P214" s="159">
        <f t="shared" si="110"/>
        <v>4844345846.9346666</v>
      </c>
      <c r="Q214" s="261">
        <f t="shared" si="110"/>
        <v>494295059.51666665</v>
      </c>
      <c r="R214" s="261">
        <f t="shared" si="110"/>
        <v>322222435.68066663</v>
      </c>
      <c r="S214" s="261">
        <f t="shared" si="110"/>
        <v>350776207</v>
      </c>
      <c r="T214" s="261">
        <f t="shared" si="110"/>
        <v>526363414</v>
      </c>
      <c r="U214" s="261">
        <f t="shared" si="110"/>
        <v>807833816</v>
      </c>
      <c r="V214" s="159">
        <f>V136+V192+V213</f>
        <v>751461393</v>
      </c>
      <c r="W214" s="159">
        <f t="shared" si="110"/>
        <v>0</v>
      </c>
      <c r="X214" s="159">
        <f t="shared" si="110"/>
        <v>0</v>
      </c>
      <c r="Y214" s="159">
        <f t="shared" si="110"/>
        <v>3252952325.1973333</v>
      </c>
      <c r="Z214" s="195">
        <f t="shared" si="110"/>
        <v>1444483455</v>
      </c>
      <c r="AA214" s="155"/>
      <c r="AB214" s="155"/>
    </row>
    <row r="215" spans="1:29" s="226" customFormat="1" x14ac:dyDescent="0.25">
      <c r="A215" s="168"/>
      <c r="B215" s="177"/>
      <c r="C215" s="177"/>
      <c r="D215" s="171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258"/>
      <c r="R215" s="258"/>
      <c r="S215" s="258"/>
      <c r="T215" s="258"/>
      <c r="U215" s="258"/>
      <c r="V215" s="173"/>
      <c r="W215" s="173"/>
      <c r="X215" s="173"/>
      <c r="Y215" s="173"/>
      <c r="Z215" s="225"/>
      <c r="AB215" s="227"/>
    </row>
    <row r="216" spans="1:29" s="234" customFormat="1" ht="19.5" customHeight="1" x14ac:dyDescent="0.25">
      <c r="A216" s="228" t="s">
        <v>51</v>
      </c>
      <c r="B216" s="229"/>
      <c r="C216" s="229"/>
      <c r="D216" s="230"/>
      <c r="E216" s="230">
        <f>E214</f>
        <v>5061050262.132</v>
      </c>
      <c r="F216" s="230">
        <f>F214</f>
        <v>252150000</v>
      </c>
      <c r="G216" s="230" t="e">
        <f>+G170+G139+G183+#REF!+#REF!+G212</f>
        <v>#REF!</v>
      </c>
      <c r="H216" s="230">
        <v>0</v>
      </c>
      <c r="I216" s="230">
        <v>0</v>
      </c>
      <c r="J216" s="230">
        <v>0</v>
      </c>
      <c r="K216" s="230">
        <v>0</v>
      </c>
      <c r="L216" s="230">
        <v>0</v>
      </c>
      <c r="M216" s="230">
        <v>0</v>
      </c>
      <c r="N216" s="230">
        <f>E216+F216</f>
        <v>5313200262.132</v>
      </c>
      <c r="O216" s="230">
        <f>O136</f>
        <v>2581807149.164</v>
      </c>
      <c r="P216" s="230">
        <f>P136</f>
        <v>2731393112.9679999</v>
      </c>
      <c r="Q216" s="272">
        <f>+Q136</f>
        <v>50076880.25</v>
      </c>
      <c r="R216" s="272">
        <f t="shared" ref="R216:Z216" si="111">R136</f>
        <v>54263871.163999997</v>
      </c>
      <c r="S216" s="272">
        <f t="shared" si="111"/>
        <v>80581143.719999999</v>
      </c>
      <c r="T216" s="272">
        <f t="shared" si="111"/>
        <v>240039478.5</v>
      </c>
      <c r="U216" s="272">
        <f t="shared" si="111"/>
        <v>478659333.01999998</v>
      </c>
      <c r="V216" s="230">
        <f t="shared" si="111"/>
        <v>444224751.35999995</v>
      </c>
      <c r="W216" s="230">
        <f t="shared" si="111"/>
        <v>0</v>
      </c>
      <c r="X216" s="230">
        <f t="shared" si="111"/>
        <v>0</v>
      </c>
      <c r="Y216" s="230">
        <f t="shared" si="111"/>
        <v>1347845458.0139999</v>
      </c>
      <c r="Z216" s="231">
        <f t="shared" si="111"/>
        <v>1233961691.1500001</v>
      </c>
      <c r="AA216" s="232"/>
      <c r="AB216" s="233"/>
    </row>
    <row r="217" spans="1:29" s="234" customFormat="1" ht="19.5" customHeight="1" x14ac:dyDescent="0.25">
      <c r="A217" s="228" t="s">
        <v>52</v>
      </c>
      <c r="B217" s="229"/>
      <c r="C217" s="229"/>
      <c r="D217" s="230"/>
      <c r="E217" s="230">
        <v>0</v>
      </c>
      <c r="F217" s="230">
        <v>0</v>
      </c>
      <c r="G217" s="230">
        <v>0</v>
      </c>
      <c r="H217" s="230">
        <f>H214</f>
        <v>549603455</v>
      </c>
      <c r="I217" s="230">
        <f>I214</f>
        <v>841486313</v>
      </c>
      <c r="J217" s="230">
        <f>J214</f>
        <v>0</v>
      </c>
      <c r="K217" s="230">
        <v>0</v>
      </c>
      <c r="L217" s="230">
        <v>0</v>
      </c>
      <c r="M217" s="230">
        <v>0</v>
      </c>
      <c r="N217" s="230">
        <f>H217+I217</f>
        <v>1391089768</v>
      </c>
      <c r="O217" s="230">
        <f>O192</f>
        <v>437852683</v>
      </c>
      <c r="P217" s="230">
        <f>P192</f>
        <v>953237085</v>
      </c>
      <c r="Q217" s="272">
        <f>+Q192</f>
        <v>180964554.75</v>
      </c>
      <c r="R217" s="272">
        <f>+R192</f>
        <v>4749980</v>
      </c>
      <c r="S217" s="272">
        <f>S192</f>
        <v>6990094.2800000003</v>
      </c>
      <c r="T217" s="272">
        <f>T192</f>
        <v>21498956.5</v>
      </c>
      <c r="U217" s="272">
        <f>U192</f>
        <v>39529185.979999997</v>
      </c>
      <c r="V217" s="230">
        <f t="shared" ref="V217:X217" si="112">V192</f>
        <v>34905147.640000001</v>
      </c>
      <c r="W217" s="230">
        <f t="shared" si="112"/>
        <v>0</v>
      </c>
      <c r="X217" s="230">
        <f t="shared" si="112"/>
        <v>0</v>
      </c>
      <c r="Y217" s="230">
        <f>Y192</f>
        <v>288637919.14999998</v>
      </c>
      <c r="Z217" s="231">
        <f>Z192</f>
        <v>149214763.84999999</v>
      </c>
      <c r="AA217" s="232"/>
      <c r="AB217" s="233"/>
    </row>
    <row r="218" spans="1:29" s="234" customFormat="1" ht="19.5" customHeight="1" x14ac:dyDescent="0.25">
      <c r="A218" s="228" t="s">
        <v>53</v>
      </c>
      <c r="B218" s="229"/>
      <c r="C218" s="229"/>
      <c r="D218" s="230"/>
      <c r="E218" s="230">
        <v>0</v>
      </c>
      <c r="F218" s="230">
        <v>0</v>
      </c>
      <c r="G218" s="230">
        <v>0</v>
      </c>
      <c r="H218" s="230">
        <v>0</v>
      </c>
      <c r="I218" s="230">
        <v>0</v>
      </c>
      <c r="J218" s="230">
        <v>0</v>
      </c>
      <c r="K218" s="230">
        <f>K214</f>
        <v>87410000</v>
      </c>
      <c r="L218" s="230">
        <f>L214</f>
        <v>2750081597</v>
      </c>
      <c r="M218" s="230">
        <f>M214</f>
        <v>0</v>
      </c>
      <c r="N218" s="230">
        <f>K218+L218</f>
        <v>2837491597</v>
      </c>
      <c r="O218" s="230">
        <f>O213</f>
        <v>1677775948.0333333</v>
      </c>
      <c r="P218" s="230">
        <f>P213</f>
        <v>1159715648.9666667</v>
      </c>
      <c r="Q218" s="272">
        <f>Q212</f>
        <v>263253624.51666665</v>
      </c>
      <c r="R218" s="272">
        <f t="shared" ref="R218:X218" si="113">R212</f>
        <v>263208584.51666665</v>
      </c>
      <c r="S218" s="272">
        <f t="shared" si="113"/>
        <v>263204969</v>
      </c>
      <c r="T218" s="272">
        <f t="shared" si="113"/>
        <v>264824979</v>
      </c>
      <c r="U218" s="272">
        <f t="shared" si="113"/>
        <v>289645297</v>
      </c>
      <c r="V218" s="230">
        <f t="shared" si="113"/>
        <v>272331494</v>
      </c>
      <c r="W218" s="230">
        <f t="shared" si="113"/>
        <v>0</v>
      </c>
      <c r="X218" s="230">
        <f t="shared" si="113"/>
        <v>0</v>
      </c>
      <c r="Y218" s="230">
        <f>Y213</f>
        <v>1616468948.0333333</v>
      </c>
      <c r="Z218" s="231">
        <f>Z213</f>
        <v>61307000</v>
      </c>
      <c r="AA218" s="232"/>
      <c r="AB218" s="233"/>
    </row>
    <row r="219" spans="1:29" s="238" customFormat="1" ht="19.5" customHeight="1" x14ac:dyDescent="0.25">
      <c r="A219" s="235" t="s">
        <v>2</v>
      </c>
      <c r="B219" s="236"/>
      <c r="C219" s="236"/>
      <c r="D219" s="236"/>
      <c r="E219" s="236"/>
      <c r="F219" s="236"/>
      <c r="G219" s="236"/>
      <c r="H219" s="236"/>
      <c r="I219" s="236"/>
      <c r="J219" s="236"/>
      <c r="K219" s="236"/>
      <c r="L219" s="236"/>
      <c r="M219" s="236"/>
      <c r="N219" s="236">
        <f>+N216+N217+N218</f>
        <v>9541781627.132</v>
      </c>
      <c r="O219" s="236">
        <f>SUM(O216:O218)</f>
        <v>4697435780.1973333</v>
      </c>
      <c r="P219" s="236">
        <f>SUM(P216:P218)</f>
        <v>4844345846.9346666</v>
      </c>
      <c r="Q219" s="273">
        <f>SUM(Q216:Q218)</f>
        <v>494295059.51666665</v>
      </c>
      <c r="R219" s="273">
        <f t="shared" ref="R219:S219" si="114">SUM(R216:R218)</f>
        <v>322222435.68066663</v>
      </c>
      <c r="S219" s="273">
        <f t="shared" si="114"/>
        <v>350776207</v>
      </c>
      <c r="T219" s="273">
        <f>SUM(T216:T218)</f>
        <v>526363414</v>
      </c>
      <c r="U219" s="273">
        <f>SUM(U216:U218)</f>
        <v>807833816</v>
      </c>
      <c r="V219" s="236">
        <f>SUM(V216:V218)</f>
        <v>751461393</v>
      </c>
      <c r="W219" s="236">
        <f t="shared" ref="W219:X219" si="115">SUM(W216:W218)</f>
        <v>0</v>
      </c>
      <c r="X219" s="236">
        <f t="shared" si="115"/>
        <v>0</v>
      </c>
      <c r="Y219" s="236">
        <f>SUM(Y216:Y218)</f>
        <v>3252952325.1973333</v>
      </c>
      <c r="Z219" s="237">
        <f>SUM(Z216:Z218)</f>
        <v>1444483455</v>
      </c>
    </row>
    <row r="220" spans="1:29" s="175" customFormat="1" ht="15.75" thickBot="1" x14ac:dyDescent="0.3">
      <c r="A220" s="239" t="s">
        <v>22</v>
      </c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1"/>
      <c r="N220" s="241">
        <f t="shared" ref="N220:X220" si="116">+N219/$N$219</f>
        <v>1</v>
      </c>
      <c r="O220" s="241">
        <f t="shared" si="116"/>
        <v>0.49230174864201487</v>
      </c>
      <c r="P220" s="241">
        <f t="shared" si="116"/>
        <v>0.50769825135798519</v>
      </c>
      <c r="Q220" s="241">
        <f t="shared" si="116"/>
        <v>5.1803224893676204E-2</v>
      </c>
      <c r="R220" s="241">
        <f t="shared" si="116"/>
        <v>3.3769630062003203E-2</v>
      </c>
      <c r="S220" s="241">
        <f t="shared" si="116"/>
        <v>3.6762128993035215E-2</v>
      </c>
      <c r="T220" s="241">
        <f t="shared" si="116"/>
        <v>5.5164059980506025E-2</v>
      </c>
      <c r="U220" s="241">
        <f t="shared" si="116"/>
        <v>8.4662786004547547E-2</v>
      </c>
      <c r="V220" s="241">
        <f t="shared" si="116"/>
        <v>7.8754830320495281E-2</v>
      </c>
      <c r="W220" s="241">
        <f t="shared" si="116"/>
        <v>0</v>
      </c>
      <c r="X220" s="241">
        <f t="shared" si="116"/>
        <v>0</v>
      </c>
      <c r="Y220" s="241">
        <f>+Y219/$N$219</f>
        <v>0.34091666025426348</v>
      </c>
      <c r="Z220" s="242">
        <f>+Z219/O219</f>
        <v>0.30750467331334524</v>
      </c>
    </row>
    <row r="221" spans="1:29" s="175" customFormat="1" x14ac:dyDescent="0.25">
      <c r="A221" s="243"/>
      <c r="B221" s="244"/>
      <c r="C221" s="244"/>
      <c r="D221" s="244"/>
      <c r="E221" s="244"/>
      <c r="F221" s="244"/>
      <c r="G221" s="244"/>
      <c r="H221" s="244"/>
      <c r="I221" s="244"/>
      <c r="J221" s="244"/>
      <c r="K221" s="244"/>
      <c r="L221" s="244"/>
      <c r="M221" s="245"/>
      <c r="N221" s="245"/>
      <c r="O221" s="245"/>
      <c r="P221" s="245"/>
      <c r="Q221" s="245"/>
      <c r="R221" s="245"/>
      <c r="S221" s="245"/>
      <c r="T221" s="245"/>
      <c r="U221" s="245"/>
      <c r="V221" s="245"/>
      <c r="W221" s="245"/>
      <c r="X221" s="245"/>
      <c r="Y221" s="245"/>
      <c r="Z221" s="245"/>
    </row>
    <row r="222" spans="1:29" s="175" customFormat="1" x14ac:dyDescent="0.25">
      <c r="A222" s="243"/>
      <c r="B222" s="244"/>
      <c r="C222" s="244"/>
      <c r="D222" s="244"/>
      <c r="E222" s="244"/>
      <c r="F222" s="244"/>
      <c r="G222" s="244"/>
      <c r="H222" s="244"/>
      <c r="I222" s="244"/>
      <c r="J222" s="244"/>
      <c r="K222" s="244"/>
      <c r="L222" s="244"/>
      <c r="M222" s="245"/>
      <c r="N222" s="245"/>
      <c r="O222" s="245"/>
      <c r="P222" s="245"/>
      <c r="Q222" s="246"/>
      <c r="R222" s="245"/>
      <c r="S222" s="245"/>
      <c r="T222" s="245"/>
      <c r="U222" s="245"/>
      <c r="V222" s="245"/>
      <c r="W222" s="245"/>
      <c r="X222" s="245"/>
      <c r="Y222" s="245"/>
      <c r="Z222" s="247"/>
    </row>
    <row r="223" spans="1:29" s="175" customFormat="1" x14ac:dyDescent="0.25">
      <c r="A223" s="248"/>
      <c r="B223" s="248"/>
      <c r="C223" s="248"/>
      <c r="D223" s="248"/>
      <c r="E223" s="248"/>
      <c r="F223" s="248"/>
      <c r="G223" s="248"/>
      <c r="H223" s="248"/>
      <c r="I223" s="248"/>
      <c r="J223" s="248"/>
      <c r="K223" s="248"/>
      <c r="L223" s="248"/>
      <c r="M223" s="248"/>
      <c r="N223" s="248"/>
      <c r="O223" s="248"/>
      <c r="P223" s="249"/>
      <c r="Q223" s="249"/>
      <c r="R223" s="249"/>
      <c r="S223" s="249"/>
      <c r="T223" s="248"/>
      <c r="U223" s="248"/>
      <c r="V223" s="248"/>
      <c r="W223" s="248"/>
      <c r="X223" s="249"/>
      <c r="Y223" s="249"/>
      <c r="Z223" s="248"/>
    </row>
    <row r="224" spans="1:29" x14ac:dyDescent="0.25">
      <c r="M224" s="115"/>
      <c r="N224" s="115"/>
      <c r="O224" s="250"/>
      <c r="P224" s="251"/>
      <c r="Z224" s="155"/>
    </row>
    <row r="225" spans="9:26" x14ac:dyDescent="0.25">
      <c r="I225" s="155"/>
      <c r="M225" s="115"/>
      <c r="N225" s="115"/>
      <c r="O225" s="253"/>
      <c r="P225" s="251"/>
      <c r="Z225" s="155"/>
    </row>
    <row r="226" spans="9:26" x14ac:dyDescent="0.25">
      <c r="M226" s="115"/>
      <c r="N226" s="115"/>
      <c r="O226" s="253"/>
      <c r="P226" s="251"/>
    </row>
    <row r="227" spans="9:26" x14ac:dyDescent="0.25">
      <c r="O227" s="254"/>
    </row>
    <row r="228" spans="9:26" x14ac:dyDescent="0.25">
      <c r="O228" s="254"/>
    </row>
    <row r="229" spans="9:26" x14ac:dyDescent="0.25">
      <c r="O229" s="254"/>
    </row>
    <row r="230" spans="9:26" x14ac:dyDescent="0.25">
      <c r="O230" s="254"/>
    </row>
  </sheetData>
  <mergeCells count="26">
    <mergeCell ref="Z24:Z25"/>
    <mergeCell ref="U24:U25"/>
    <mergeCell ref="W24:W25"/>
    <mergeCell ref="X24:X25"/>
    <mergeCell ref="Y24:Y25"/>
    <mergeCell ref="P24:P25"/>
    <mergeCell ref="Q24:Q25"/>
    <mergeCell ref="R24:R25"/>
    <mergeCell ref="S24:S25"/>
    <mergeCell ref="T24:T25"/>
    <mergeCell ref="A1:Z1"/>
    <mergeCell ref="A2:Z2"/>
    <mergeCell ref="A4:Z4"/>
    <mergeCell ref="A24:A25"/>
    <mergeCell ref="B24:B25"/>
    <mergeCell ref="C24:C25"/>
    <mergeCell ref="D24:D25"/>
    <mergeCell ref="E24:F24"/>
    <mergeCell ref="G24:G25"/>
    <mergeCell ref="H24:I24"/>
    <mergeCell ref="V24:V25"/>
    <mergeCell ref="J24:J25"/>
    <mergeCell ref="K24:L24"/>
    <mergeCell ref="M24:M25"/>
    <mergeCell ref="N24:N25"/>
    <mergeCell ref="O24:O25"/>
  </mergeCells>
  <pageMargins left="1.299212598425197" right="0.70866141732283472" top="0.74803149606299213" bottom="0.74803149606299213" header="0.31496062992125984" footer="0.31496062992125984"/>
  <pageSetup paperSize="41" scale="41" fitToWidth="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A62"/>
  <sheetViews>
    <sheetView view="pageBreakPreview" zoomScale="85" zoomScaleNormal="85" zoomScaleSheetLayoutView="85" workbookViewId="0">
      <selection activeCell="E68" sqref="E68"/>
    </sheetView>
  </sheetViews>
  <sheetFormatPr baseColWidth="10" defaultColWidth="9.140625" defaultRowHeight="15" x14ac:dyDescent="0.25"/>
  <cols>
    <col min="1" max="1" width="4.140625" customWidth="1"/>
    <col min="2" max="2" width="48.7109375" bestFit="1" customWidth="1"/>
    <col min="3" max="3" width="15.5703125" customWidth="1"/>
    <col min="4" max="4" width="16.85546875" customWidth="1"/>
    <col min="5" max="5" width="17.85546875" customWidth="1"/>
    <col min="6" max="6" width="16.85546875" customWidth="1"/>
    <col min="7" max="7" width="17.85546875" customWidth="1"/>
    <col min="8" max="8" width="20.42578125" customWidth="1"/>
    <col min="9" max="9" width="23.140625" customWidth="1"/>
    <col min="10" max="19" width="19.140625" customWidth="1"/>
    <col min="20" max="20" width="17.7109375" customWidth="1"/>
    <col min="21" max="21" width="15" customWidth="1"/>
    <col min="22" max="22" width="3.5703125" customWidth="1"/>
    <col min="23" max="23" width="19.140625" bestFit="1" customWidth="1"/>
    <col min="24" max="26" width="18.5703125" customWidth="1"/>
    <col min="27" max="27" width="18" bestFit="1" customWidth="1"/>
    <col min="28" max="28" width="15.5703125" customWidth="1"/>
    <col min="29" max="29" width="13.140625" style="1" bestFit="1" customWidth="1"/>
  </cols>
  <sheetData>
    <row r="1" spans="2:53" s="2" customFormat="1" ht="81.75" customHeight="1" x14ac:dyDescent="0.25">
      <c r="B1" s="277" t="s">
        <v>143</v>
      </c>
      <c r="C1" s="277"/>
      <c r="D1" s="277"/>
      <c r="E1" s="277"/>
      <c r="F1" s="277"/>
      <c r="G1" s="277"/>
      <c r="H1" s="277"/>
      <c r="I1" s="27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53" s="2" customFormat="1" ht="1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53" s="2" customFormat="1" ht="15" customHeight="1" x14ac:dyDescent="0.25">
      <c r="B3" s="316" t="s">
        <v>147</v>
      </c>
      <c r="C3" s="316"/>
      <c r="D3" s="316"/>
      <c r="E3" s="316"/>
      <c r="F3" s="316"/>
      <c r="G3" s="316"/>
      <c r="H3" s="316"/>
      <c r="I3" s="316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2:53" s="2" customFormat="1" ht="15" customHeight="1" thickBo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97"/>
      <c r="AD4" s="97"/>
    </row>
    <row r="5" spans="2:53" s="2" customFormat="1" ht="15" customHeight="1" thickBot="1" x14ac:dyDescent="0.3">
      <c r="B5" s="19" t="s">
        <v>91</v>
      </c>
      <c r="C5" s="20">
        <v>43405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2:53" s="2" customFormat="1" ht="15" customHeight="1" thickBot="1" x14ac:dyDescent="0.3">
      <c r="B6" s="21" t="s">
        <v>10</v>
      </c>
      <c r="C6" s="22" t="e">
        <f>#REF!</f>
        <v>#REF!</v>
      </c>
      <c r="D6" s="97"/>
      <c r="E6" s="34" t="s">
        <v>67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</row>
    <row r="7" spans="2:53" s="2" customFormat="1" ht="15.75" customHeight="1" thickBot="1" x14ac:dyDescent="0.3">
      <c r="B7" s="23" t="s">
        <v>11</v>
      </c>
      <c r="C7" s="24" t="e">
        <f>#REF!</f>
        <v>#REF!</v>
      </c>
      <c r="D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2:53" s="2" customFormat="1" ht="15.75" customHeight="1" x14ac:dyDescent="0.25">
      <c r="B8" s="25" t="s">
        <v>65</v>
      </c>
      <c r="C8" s="26" t="e">
        <f>#REF!</f>
        <v>#REF!</v>
      </c>
      <c r="D8" s="97"/>
      <c r="E8" s="288" t="s">
        <v>64</v>
      </c>
      <c r="F8" s="289"/>
      <c r="G8" s="46" t="s">
        <v>78</v>
      </c>
      <c r="H8" s="47" t="s">
        <v>77</v>
      </c>
      <c r="I8" s="48" t="s">
        <v>92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</row>
    <row r="9" spans="2:53" s="2" customFormat="1" ht="15.75" customHeight="1" x14ac:dyDescent="0.25">
      <c r="B9" s="21" t="s">
        <v>66</v>
      </c>
      <c r="C9" s="27" t="e">
        <f>#REF!</f>
        <v>#REF!</v>
      </c>
      <c r="D9" s="97"/>
      <c r="E9" s="284" t="s">
        <v>72</v>
      </c>
      <c r="F9" s="285"/>
      <c r="G9" s="42"/>
      <c r="H9" s="43"/>
      <c r="I9" s="49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</row>
    <row r="10" spans="2:53" s="2" customFormat="1" ht="15.75" customHeight="1" x14ac:dyDescent="0.25">
      <c r="B10" s="21" t="s">
        <v>54</v>
      </c>
      <c r="C10" s="28" t="e">
        <f>#REF!</f>
        <v>#REF!</v>
      </c>
      <c r="D10" s="97"/>
      <c r="E10" s="286" t="s">
        <v>74</v>
      </c>
      <c r="F10" s="287"/>
      <c r="G10" s="16"/>
      <c r="H10" s="17"/>
      <c r="I10" s="93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</row>
    <row r="11" spans="2:53" s="2" customFormat="1" ht="15.75" customHeight="1" x14ac:dyDescent="0.25">
      <c r="B11" s="29" t="s">
        <v>55</v>
      </c>
      <c r="C11" s="30" t="e">
        <f>+C8+C9+C10</f>
        <v>#REF!</v>
      </c>
      <c r="D11" s="97"/>
      <c r="E11" s="286" t="s">
        <v>75</v>
      </c>
      <c r="F11" s="287"/>
      <c r="G11" s="16"/>
      <c r="H11" s="17"/>
      <c r="I11" s="35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</row>
    <row r="12" spans="2:53" s="2" customFormat="1" ht="15.75" customHeight="1" thickBot="1" x14ac:dyDescent="0.3">
      <c r="B12" s="21" t="s">
        <v>68</v>
      </c>
      <c r="C12" s="27" t="e">
        <f>#REF!</f>
        <v>#REF!</v>
      </c>
      <c r="D12" s="97"/>
      <c r="E12" s="314" t="s">
        <v>76</v>
      </c>
      <c r="F12" s="315"/>
      <c r="G12" s="39"/>
      <c r="H12" s="40"/>
      <c r="I12" s="41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</row>
    <row r="13" spans="2:53" s="2" customFormat="1" ht="15.75" customHeight="1" x14ac:dyDescent="0.25">
      <c r="B13" s="21" t="s">
        <v>69</v>
      </c>
      <c r="C13" s="27" t="e">
        <f>#REF!</f>
        <v>#REF!</v>
      </c>
      <c r="D13" s="97"/>
      <c r="E13" s="290" t="s">
        <v>73</v>
      </c>
      <c r="F13" s="291"/>
      <c r="G13" s="44" t="s">
        <v>78</v>
      </c>
      <c r="H13" s="45" t="s">
        <v>77</v>
      </c>
      <c r="I13" s="48" t="s">
        <v>92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</row>
    <row r="14" spans="2:53" s="2" customFormat="1" ht="15.75" customHeight="1" x14ac:dyDescent="0.25">
      <c r="B14" s="21" t="s">
        <v>56</v>
      </c>
      <c r="C14" s="28" t="e">
        <f>#REF!</f>
        <v>#REF!</v>
      </c>
      <c r="D14" s="97"/>
      <c r="E14" s="284" t="s">
        <v>72</v>
      </c>
      <c r="F14" s="285"/>
      <c r="G14" s="42"/>
      <c r="H14" s="43"/>
      <c r="I14" s="49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</row>
    <row r="15" spans="2:53" s="2" customFormat="1" ht="15.75" customHeight="1" x14ac:dyDescent="0.25">
      <c r="B15" s="29" t="s">
        <v>57</v>
      </c>
      <c r="C15" s="30" t="e">
        <f>+C12+C13+C14</f>
        <v>#REF!</v>
      </c>
      <c r="D15" s="97"/>
      <c r="E15" s="286" t="s">
        <v>74</v>
      </c>
      <c r="F15" s="287"/>
      <c r="G15" s="16"/>
      <c r="H15" s="17"/>
      <c r="I15" s="93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</row>
    <row r="16" spans="2:53" s="2" customFormat="1" ht="15.75" customHeight="1" x14ac:dyDescent="0.25">
      <c r="B16" s="21" t="s">
        <v>70</v>
      </c>
      <c r="C16" s="27" t="e">
        <f>#REF!</f>
        <v>#REF!</v>
      </c>
      <c r="D16" s="97"/>
      <c r="E16" s="286" t="s">
        <v>75</v>
      </c>
      <c r="F16" s="287"/>
      <c r="G16" s="16"/>
      <c r="H16" s="16"/>
      <c r="I16" s="35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</row>
    <row r="17" spans="2:53" s="2" customFormat="1" ht="15.75" customHeight="1" thickBot="1" x14ac:dyDescent="0.3">
      <c r="B17" s="21" t="s">
        <v>71</v>
      </c>
      <c r="C17" s="27" t="e">
        <f>#REF!</f>
        <v>#REF!</v>
      </c>
      <c r="D17" s="97"/>
      <c r="E17" s="292" t="s">
        <v>76</v>
      </c>
      <c r="F17" s="293"/>
      <c r="G17" s="36"/>
      <c r="H17" s="37"/>
      <c r="I17" s="38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</row>
    <row r="18" spans="2:53" s="2" customFormat="1" ht="15.75" customHeight="1" x14ac:dyDescent="0.25">
      <c r="B18" s="21" t="s">
        <v>58</v>
      </c>
      <c r="C18" s="28" t="e">
        <f>#REF!</f>
        <v>#REF!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</row>
    <row r="19" spans="2:53" s="2" customFormat="1" ht="15.75" customHeight="1" x14ac:dyDescent="0.25">
      <c r="B19" s="31" t="s">
        <v>59</v>
      </c>
      <c r="C19" s="32" t="e">
        <f>+C16+C17+C18</f>
        <v>#REF!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</row>
    <row r="20" spans="2:53" s="2" customFormat="1" ht="15.75" customHeight="1" thickBot="1" x14ac:dyDescent="0.3">
      <c r="B20" s="33" t="s">
        <v>60</v>
      </c>
      <c r="C20" s="90" t="e">
        <f>+C11+C15+C19</f>
        <v>#REF!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</row>
    <row r="21" spans="2:53" s="2" customFormat="1" ht="15.75" customHeight="1" x14ac:dyDescent="0.25">
      <c r="B21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</row>
    <row r="22" spans="2:53" x14ac:dyDescent="0.25">
      <c r="U22" s="7"/>
      <c r="V22" s="7"/>
      <c r="W22" s="7"/>
      <c r="AC22"/>
    </row>
    <row r="23" spans="2:53" ht="15.75" thickBot="1" x14ac:dyDescent="0.3"/>
    <row r="24" spans="2:53" ht="15.75" customHeight="1" thickBot="1" x14ac:dyDescent="0.3">
      <c r="B24" s="278" t="s">
        <v>4</v>
      </c>
      <c r="C24" s="281" t="s">
        <v>147</v>
      </c>
      <c r="D24" s="282"/>
      <c r="E24" s="282"/>
      <c r="F24" s="282"/>
      <c r="G24" s="282"/>
      <c r="H24" s="282"/>
      <c r="I24" s="283"/>
      <c r="J24" s="4"/>
    </row>
    <row r="25" spans="2:53" ht="38.25" x14ac:dyDescent="0.25">
      <c r="B25" s="279"/>
      <c r="C25" s="12" t="s">
        <v>40</v>
      </c>
      <c r="D25" s="96" t="s">
        <v>41</v>
      </c>
      <c r="E25" s="55" t="s">
        <v>6</v>
      </c>
      <c r="F25" s="56" t="s">
        <v>8</v>
      </c>
      <c r="G25" s="56" t="s">
        <v>9</v>
      </c>
      <c r="H25" s="56" t="s">
        <v>104</v>
      </c>
      <c r="I25" s="57" t="s">
        <v>114</v>
      </c>
      <c r="J25" s="80"/>
    </row>
    <row r="26" spans="2:53" x14ac:dyDescent="0.25">
      <c r="B26" s="58" t="s">
        <v>106</v>
      </c>
      <c r="C26" s="79"/>
      <c r="D26" s="60"/>
      <c r="E26" s="61"/>
      <c r="F26" s="61"/>
      <c r="G26" s="62"/>
      <c r="H26" s="62"/>
      <c r="I26" s="86"/>
      <c r="J26" s="81"/>
    </row>
    <row r="27" spans="2:53" x14ac:dyDescent="0.25">
      <c r="B27" s="13" t="s">
        <v>31</v>
      </c>
      <c r="C27" s="63" t="e">
        <f>#REF!</f>
        <v>#REF!</v>
      </c>
      <c r="D27" s="63">
        <f>[1]DETALLE!F64</f>
        <v>0</v>
      </c>
      <c r="E27" s="63" t="e">
        <f t="shared" ref="E27:E32" si="0">C27+D27</f>
        <v>#REF!</v>
      </c>
      <c r="F27" s="63" t="e">
        <f>#REF!-165816000-140695000</f>
        <v>#REF!</v>
      </c>
      <c r="G27" s="64" t="e">
        <f>E27-F27</f>
        <v>#REF!</v>
      </c>
      <c r="H27" s="64" t="e">
        <f>#REF!-22070000</f>
        <v>#REF!</v>
      </c>
      <c r="I27" s="76" t="e">
        <f>+F27-H27</f>
        <v>#REF!</v>
      </c>
      <c r="J27" s="82"/>
    </row>
    <row r="28" spans="2:53" x14ac:dyDescent="0.25">
      <c r="B28" s="13" t="s">
        <v>62</v>
      </c>
      <c r="C28" s="63" t="e">
        <f>#REF!</f>
        <v>#REF!</v>
      </c>
      <c r="D28" s="63">
        <f>[1]DETALLE!F69</f>
        <v>0</v>
      </c>
      <c r="E28" s="63" t="e">
        <f t="shared" si="0"/>
        <v>#REF!</v>
      </c>
      <c r="F28" s="63" t="e">
        <f>#REF!</f>
        <v>#REF!</v>
      </c>
      <c r="G28" s="64" t="e">
        <f>E28-F28</f>
        <v>#REF!</v>
      </c>
      <c r="H28" s="64" t="e">
        <f>#REF!-14233104</f>
        <v>#REF!</v>
      </c>
      <c r="I28" s="76" t="e">
        <f t="shared" ref="I28:I32" si="1">+F28-H28</f>
        <v>#REF!</v>
      </c>
      <c r="J28" s="82"/>
    </row>
    <row r="29" spans="2:53" x14ac:dyDescent="0.25">
      <c r="B29" s="13" t="s">
        <v>63</v>
      </c>
      <c r="C29" s="63" t="e">
        <f>#REF!</f>
        <v>#REF!</v>
      </c>
      <c r="D29" s="63" t="e">
        <f>#REF!</f>
        <v>#REF!</v>
      </c>
      <c r="E29" s="63" t="e">
        <f t="shared" si="0"/>
        <v>#REF!</v>
      </c>
      <c r="F29" s="63" t="e">
        <f>#REF!</f>
        <v>#REF!</v>
      </c>
      <c r="G29" s="64" t="e">
        <f t="shared" ref="G29" si="2">E29-F29</f>
        <v>#REF!</v>
      </c>
      <c r="H29" s="64" t="e">
        <f>#REF!-11098000</f>
        <v>#REF!</v>
      </c>
      <c r="I29" s="76" t="e">
        <f t="shared" si="1"/>
        <v>#REF!</v>
      </c>
      <c r="J29" s="82"/>
    </row>
    <row r="30" spans="2:53" x14ac:dyDescent="0.25">
      <c r="B30" s="13" t="s">
        <v>27</v>
      </c>
      <c r="C30" s="63" t="e">
        <f>#REF!</f>
        <v>#REF!</v>
      </c>
      <c r="D30" s="63">
        <f>[1]DETALLE!F77</f>
        <v>0</v>
      </c>
      <c r="E30" s="63" t="e">
        <f t="shared" si="0"/>
        <v>#REF!</v>
      </c>
      <c r="F30" s="63" t="e">
        <f>#REF!-47313455-150000000</f>
        <v>#REF!</v>
      </c>
      <c r="G30" s="64" t="e">
        <f>E30-F30</f>
        <v>#REF!</v>
      </c>
      <c r="H30" s="64" t="e">
        <f>#REF!</f>
        <v>#REF!</v>
      </c>
      <c r="I30" s="76" t="e">
        <f t="shared" si="1"/>
        <v>#REF!</v>
      </c>
      <c r="J30" s="82"/>
    </row>
    <row r="31" spans="2:53" x14ac:dyDescent="0.25">
      <c r="B31" s="13" t="s">
        <v>23</v>
      </c>
      <c r="C31" s="63" t="e">
        <f>#REF!</f>
        <v>#REF!</v>
      </c>
      <c r="D31" s="63">
        <f>[1]DETALLE!F80</f>
        <v>0</v>
      </c>
      <c r="E31" s="63" t="e">
        <f t="shared" si="0"/>
        <v>#REF!</v>
      </c>
      <c r="F31" s="63" t="e">
        <f>#REF!-34000000</f>
        <v>#REF!</v>
      </c>
      <c r="G31" s="64" t="e">
        <f>E31-F31</f>
        <v>#REF!</v>
      </c>
      <c r="H31" s="64" t="e">
        <f>#REF!</f>
        <v>#REF!</v>
      </c>
      <c r="I31" s="76" t="e">
        <f t="shared" si="1"/>
        <v>#REF!</v>
      </c>
      <c r="J31" s="82"/>
    </row>
    <row r="32" spans="2:53" ht="15.75" thickBot="1" x14ac:dyDescent="0.3">
      <c r="B32" s="14" t="s">
        <v>15</v>
      </c>
      <c r="C32" s="63" t="e">
        <f>#REF!+#REF!</f>
        <v>#REF!</v>
      </c>
      <c r="D32" s="63">
        <f>[1]DETALLE!F83</f>
        <v>0</v>
      </c>
      <c r="E32" s="63" t="e">
        <f t="shared" si="0"/>
        <v>#REF!</v>
      </c>
      <c r="F32" s="63" t="e">
        <f>#REF!+22442615</f>
        <v>#REF!</v>
      </c>
      <c r="G32" s="64" t="e">
        <f>#REF!</f>
        <v>#REF!</v>
      </c>
      <c r="H32" s="64" t="e">
        <f>#REF!-111860</f>
        <v>#REF!</v>
      </c>
      <c r="I32" s="76" t="e">
        <f t="shared" si="1"/>
        <v>#REF!</v>
      </c>
      <c r="J32" s="82"/>
    </row>
    <row r="33" spans="2:11" ht="16.5" thickTop="1" thickBot="1" x14ac:dyDescent="0.3">
      <c r="B33" s="65" t="s">
        <v>107</v>
      </c>
      <c r="C33" s="66" t="e">
        <f>SUM(C27:C32)</f>
        <v>#REF!</v>
      </c>
      <c r="D33" s="66" t="e">
        <f>SUM(D27:D32)</f>
        <v>#REF!</v>
      </c>
      <c r="E33" s="66" t="e">
        <f>SUM(E27:E32)</f>
        <v>#REF!</v>
      </c>
      <c r="F33" s="66" t="e">
        <f>SUM(F27:F32)</f>
        <v>#REF!</v>
      </c>
      <c r="G33" s="67" t="e">
        <f t="shared" ref="G33" si="3">SUM(G27:G32)</f>
        <v>#REF!</v>
      </c>
      <c r="H33" s="67" t="e">
        <f>SUM(H27:H32)</f>
        <v>#REF!</v>
      </c>
      <c r="I33" s="87" t="e">
        <f>SUM(I27:I32)</f>
        <v>#REF!</v>
      </c>
      <c r="J33" s="83"/>
      <c r="K33" s="8" t="e">
        <f>+C33-#REF!</f>
        <v>#REF!</v>
      </c>
    </row>
    <row r="34" spans="2:11" ht="15.75" thickTop="1" x14ac:dyDescent="0.25">
      <c r="B34" s="68"/>
      <c r="C34" s="69"/>
      <c r="D34" s="70"/>
      <c r="E34" s="70"/>
      <c r="F34" s="70"/>
      <c r="G34" s="71"/>
      <c r="H34" s="71"/>
      <c r="I34" s="88"/>
      <c r="J34" s="82"/>
    </row>
    <row r="35" spans="2:11" x14ac:dyDescent="0.25">
      <c r="B35" s="58" t="s">
        <v>108</v>
      </c>
      <c r="C35" s="79"/>
      <c r="D35" s="60"/>
      <c r="E35" s="61"/>
      <c r="F35" s="61"/>
      <c r="G35" s="62"/>
      <c r="H35" s="62"/>
      <c r="I35" s="86"/>
      <c r="J35" s="82"/>
    </row>
    <row r="36" spans="2:11" x14ac:dyDescent="0.25">
      <c r="B36" s="13" t="s">
        <v>31</v>
      </c>
      <c r="C36" s="63" t="e">
        <f>+#REF!</f>
        <v>#REF!</v>
      </c>
      <c r="D36" s="63" t="e">
        <f>+#REF!</f>
        <v>#REF!</v>
      </c>
      <c r="E36" s="63" t="e">
        <f>C36+D36</f>
        <v>#REF!</v>
      </c>
      <c r="F36" s="63" t="e">
        <f>#REF!+140695000</f>
        <v>#REF!</v>
      </c>
      <c r="G36" s="64" t="e">
        <f t="shared" ref="G36:G40" si="4">E36-F36</f>
        <v>#REF!</v>
      </c>
      <c r="H36" s="64" t="e">
        <f>#REF!</f>
        <v>#REF!</v>
      </c>
      <c r="I36" s="76" t="e">
        <f>+F36-H36</f>
        <v>#REF!</v>
      </c>
      <c r="J36" s="82"/>
    </row>
    <row r="37" spans="2:11" x14ac:dyDescent="0.25">
      <c r="B37" s="13" t="s">
        <v>62</v>
      </c>
      <c r="C37" s="63" t="e">
        <f>#REF!</f>
        <v>#REF!</v>
      </c>
      <c r="D37" s="63">
        <f>[1]DETALLE!F78</f>
        <v>0</v>
      </c>
      <c r="E37" s="63" t="e">
        <f t="shared" ref="E37:E41" si="5">C37+D37</f>
        <v>#REF!</v>
      </c>
      <c r="F37" s="63" t="e">
        <f>#REF!</f>
        <v>#REF!</v>
      </c>
      <c r="G37" s="64" t="e">
        <f>E37-F37</f>
        <v>#REF!</v>
      </c>
      <c r="H37" s="64" t="e">
        <f>#REF!-908496</f>
        <v>#REF!</v>
      </c>
      <c r="I37" s="76" t="e">
        <f t="shared" ref="I37:I41" si="6">+F37-H37</f>
        <v>#REF!</v>
      </c>
      <c r="J37" s="82"/>
    </row>
    <row r="38" spans="2:11" x14ac:dyDescent="0.25">
      <c r="B38" s="13" t="s">
        <v>63</v>
      </c>
      <c r="C38" s="63" t="e">
        <f>#REF!</f>
        <v>#REF!</v>
      </c>
      <c r="D38" s="63" t="e">
        <f>#REF!</f>
        <v>#REF!</v>
      </c>
      <c r="E38" s="63" t="e">
        <f t="shared" si="5"/>
        <v>#REF!</v>
      </c>
      <c r="F38" s="63" t="e">
        <f>#REF!</f>
        <v>#REF!</v>
      </c>
      <c r="G38" s="64" t="e">
        <f t="shared" si="4"/>
        <v>#REF!</v>
      </c>
      <c r="H38" s="64" t="e">
        <f>#REF!</f>
        <v>#REF!</v>
      </c>
      <c r="I38" s="76" t="e">
        <f t="shared" si="6"/>
        <v>#REF!</v>
      </c>
      <c r="J38" s="82"/>
    </row>
    <row r="39" spans="2:11" x14ac:dyDescent="0.25">
      <c r="B39" s="13" t="s">
        <v>27</v>
      </c>
      <c r="C39" s="63" t="e">
        <f>+#REF!</f>
        <v>#REF!</v>
      </c>
      <c r="D39" s="63" t="e">
        <f>+#REF!</f>
        <v>#REF!</v>
      </c>
      <c r="E39" s="63" t="e">
        <f>C39+D39</f>
        <v>#REF!</v>
      </c>
      <c r="F39" s="63" t="e">
        <f>#REF!+47313455+150000000</f>
        <v>#REF!</v>
      </c>
      <c r="G39" s="64" t="e">
        <f t="shared" si="4"/>
        <v>#REF!</v>
      </c>
      <c r="H39" s="64" t="e">
        <f>#REF!</f>
        <v>#REF!</v>
      </c>
      <c r="I39" s="76" t="e">
        <f t="shared" si="6"/>
        <v>#REF!</v>
      </c>
      <c r="J39" s="82"/>
    </row>
    <row r="40" spans="2:11" x14ac:dyDescent="0.25">
      <c r="B40" s="13" t="s">
        <v>23</v>
      </c>
      <c r="C40" s="63" t="e">
        <f>#REF!</f>
        <v>#REF!</v>
      </c>
      <c r="D40" s="63" t="e">
        <f>#REF!</f>
        <v>#REF!</v>
      </c>
      <c r="E40" s="63" t="e">
        <f t="shared" si="5"/>
        <v>#REF!</v>
      </c>
      <c r="F40" s="63" t="e">
        <f>#REF!</f>
        <v>#REF!</v>
      </c>
      <c r="G40" s="64" t="e">
        <f t="shared" si="4"/>
        <v>#REF!</v>
      </c>
      <c r="H40" s="64" t="e">
        <f>#REF!</f>
        <v>#REF!</v>
      </c>
      <c r="I40" s="76" t="e">
        <f t="shared" si="6"/>
        <v>#REF!</v>
      </c>
      <c r="J40" s="82"/>
    </row>
    <row r="41" spans="2:11" ht="15.75" thickBot="1" x14ac:dyDescent="0.3">
      <c r="B41" s="14" t="s">
        <v>15</v>
      </c>
      <c r="C41" s="63" t="e">
        <f>#REF!</f>
        <v>#REF!</v>
      </c>
      <c r="D41" s="63">
        <f>[1]DETALLE!F92</f>
        <v>0</v>
      </c>
      <c r="E41" s="63" t="e">
        <f t="shared" si="5"/>
        <v>#REF!</v>
      </c>
      <c r="F41" s="63" t="e">
        <f>#REF!</f>
        <v>#REF!</v>
      </c>
      <c r="G41" s="64" t="e">
        <f>E41-F41</f>
        <v>#REF!</v>
      </c>
      <c r="H41" s="64" t="e">
        <f>#REF!-7140</f>
        <v>#REF!</v>
      </c>
      <c r="I41" s="76" t="e">
        <f t="shared" si="6"/>
        <v>#REF!</v>
      </c>
      <c r="J41" s="82"/>
    </row>
    <row r="42" spans="2:11" ht="16.5" thickTop="1" thickBot="1" x14ac:dyDescent="0.3">
      <c r="B42" s="65" t="s">
        <v>109</v>
      </c>
      <c r="C42" s="66" t="e">
        <f>SUM(C36:C41)</f>
        <v>#REF!</v>
      </c>
      <c r="D42" s="66" t="e">
        <f>SUM(D36:D41)</f>
        <v>#REF!</v>
      </c>
      <c r="E42" s="66" t="e">
        <f>SUM(E36:E41)</f>
        <v>#REF!</v>
      </c>
      <c r="F42" s="66" t="e">
        <f>SUM(F36:F41)</f>
        <v>#REF!</v>
      </c>
      <c r="G42" s="67" t="e">
        <f t="shared" ref="G42:I42" si="7">SUM(G36:G41)</f>
        <v>#REF!</v>
      </c>
      <c r="H42" s="67" t="e">
        <f>SUM(H36:H41)</f>
        <v>#REF!</v>
      </c>
      <c r="I42" s="87" t="e">
        <f t="shared" si="7"/>
        <v>#REF!</v>
      </c>
      <c r="J42" s="82"/>
    </row>
    <row r="43" spans="2:11" ht="15.75" thickTop="1" x14ac:dyDescent="0.25">
      <c r="B43" s="68"/>
      <c r="C43" s="69"/>
      <c r="D43" s="70"/>
      <c r="E43" s="70"/>
      <c r="F43" s="70"/>
      <c r="G43" s="71"/>
      <c r="H43" s="71"/>
      <c r="I43" s="88"/>
      <c r="J43" s="82"/>
    </row>
    <row r="44" spans="2:11" x14ac:dyDescent="0.25">
      <c r="B44" s="72" t="s">
        <v>105</v>
      </c>
      <c r="C44" s="59"/>
      <c r="D44" s="73"/>
      <c r="E44" s="74"/>
      <c r="F44" s="74"/>
      <c r="G44" s="75"/>
      <c r="H44" s="75"/>
      <c r="I44" s="89"/>
      <c r="J44" s="81"/>
    </row>
    <row r="45" spans="2:11" x14ac:dyDescent="0.25">
      <c r="B45" s="13" t="s">
        <v>31</v>
      </c>
      <c r="C45" s="63" t="e">
        <f>+#REF!</f>
        <v>#REF!</v>
      </c>
      <c r="D45" s="63"/>
      <c r="E45" s="63" t="e">
        <f t="shared" ref="E45:E48" si="8">C45+D45</f>
        <v>#REF!</v>
      </c>
      <c r="F45" s="63">
        <v>81810000</v>
      </c>
      <c r="G45" s="64" t="e">
        <f t="shared" ref="G45:G49" si="9">E45-F45</f>
        <v>#REF!</v>
      </c>
      <c r="H45" s="64" t="e">
        <f>#REF!</f>
        <v>#REF!</v>
      </c>
      <c r="I45" s="76" t="e">
        <f>+F45-H45</f>
        <v>#REF!</v>
      </c>
      <c r="J45" s="82"/>
    </row>
    <row r="46" spans="2:11" x14ac:dyDescent="0.25">
      <c r="B46" s="13" t="s">
        <v>62</v>
      </c>
      <c r="C46" s="63"/>
      <c r="D46" s="63"/>
      <c r="E46" s="63">
        <f t="shared" si="8"/>
        <v>0</v>
      </c>
      <c r="F46" s="63"/>
      <c r="G46" s="64">
        <f t="shared" si="9"/>
        <v>0</v>
      </c>
      <c r="H46" s="64" t="e">
        <f>#REF!</f>
        <v>#REF!</v>
      </c>
      <c r="I46" s="76" t="e">
        <f t="shared" ref="I46" si="10">+F46-H46</f>
        <v>#REF!</v>
      </c>
      <c r="J46" s="82"/>
    </row>
    <row r="47" spans="2:11" x14ac:dyDescent="0.25">
      <c r="B47" s="13" t="s">
        <v>63</v>
      </c>
      <c r="C47" s="63"/>
      <c r="D47" s="63" t="e">
        <f>+#REF!</f>
        <v>#REF!</v>
      </c>
      <c r="E47" s="63" t="e">
        <f t="shared" si="8"/>
        <v>#REF!</v>
      </c>
      <c r="F47" s="63">
        <v>2900000</v>
      </c>
      <c r="G47" s="64" t="e">
        <f t="shared" si="9"/>
        <v>#REF!</v>
      </c>
      <c r="H47" s="64"/>
      <c r="I47" s="76">
        <f>+F47-H47</f>
        <v>2900000</v>
      </c>
      <c r="J47" s="82"/>
    </row>
    <row r="48" spans="2:11" x14ac:dyDescent="0.25">
      <c r="B48" s="13" t="s">
        <v>27</v>
      </c>
      <c r="C48" s="63" t="e">
        <f>#REF!</f>
        <v>#REF!</v>
      </c>
      <c r="D48" s="63" t="e">
        <f>#REF!</f>
        <v>#REF!</v>
      </c>
      <c r="E48" s="63" t="e">
        <f t="shared" si="8"/>
        <v>#REF!</v>
      </c>
      <c r="F48" s="63" t="e">
        <f>#REF!</f>
        <v>#REF!</v>
      </c>
      <c r="G48" s="64" t="e">
        <f t="shared" si="9"/>
        <v>#REF!</v>
      </c>
      <c r="H48" s="64" t="e">
        <f>#REF!</f>
        <v>#REF!</v>
      </c>
      <c r="I48" s="76" t="e">
        <f>+F48-H48</f>
        <v>#REF!</v>
      </c>
      <c r="J48" s="82"/>
    </row>
    <row r="49" spans="2:11" x14ac:dyDescent="0.25">
      <c r="B49" s="13" t="s">
        <v>23</v>
      </c>
      <c r="C49" s="63"/>
      <c r="D49" s="63" t="e">
        <f>+#REF!</f>
        <v>#REF!</v>
      </c>
      <c r="E49" s="63" t="e">
        <f>C49+D49</f>
        <v>#REF!</v>
      </c>
      <c r="F49" s="63">
        <v>34000000</v>
      </c>
      <c r="G49" s="64" t="e">
        <f t="shared" si="9"/>
        <v>#REF!</v>
      </c>
      <c r="H49" s="64"/>
      <c r="I49" s="76">
        <f>+F49-H49</f>
        <v>34000000</v>
      </c>
      <c r="J49" s="82"/>
    </row>
    <row r="50" spans="2:11" ht="15.75" thickBot="1" x14ac:dyDescent="0.3">
      <c r="B50" s="14" t="s">
        <v>15</v>
      </c>
      <c r="C50" s="63" t="e">
        <f>#REF!</f>
        <v>#REF!</v>
      </c>
      <c r="D50" s="63" t="e">
        <f>#REF!</f>
        <v>#REF!</v>
      </c>
      <c r="E50" s="63" t="e">
        <f>C50+D50</f>
        <v>#REF!</v>
      </c>
      <c r="F50" s="63" t="e">
        <f>#REF!+2718781597-525757817</f>
        <v>#REF!</v>
      </c>
      <c r="G50" s="64" t="e">
        <f>E50-F50</f>
        <v>#REF!</v>
      </c>
      <c r="H50" s="64" t="e">
        <f>+#REF!+#REF!-268878909</f>
        <v>#REF!</v>
      </c>
      <c r="I50" s="76" t="e">
        <f>+F50-H50</f>
        <v>#REF!</v>
      </c>
      <c r="J50" s="82"/>
    </row>
    <row r="51" spans="2:11" ht="16.5" thickTop="1" thickBot="1" x14ac:dyDescent="0.3">
      <c r="B51" s="65" t="s">
        <v>113</v>
      </c>
      <c r="C51" s="66" t="e">
        <f>SUM(C45:C50)</f>
        <v>#REF!</v>
      </c>
      <c r="D51" s="66" t="e">
        <f>SUM(D45:D50)</f>
        <v>#REF!</v>
      </c>
      <c r="E51" s="66" t="e">
        <f t="shared" ref="E51:I51" si="11">SUM(E45:E50)</f>
        <v>#REF!</v>
      </c>
      <c r="F51" s="66" t="e">
        <f>SUM(F45:F50)</f>
        <v>#REF!</v>
      </c>
      <c r="G51" s="67" t="e">
        <f>SUM(G45:G50)</f>
        <v>#REF!</v>
      </c>
      <c r="H51" s="67" t="e">
        <f t="shared" si="11"/>
        <v>#REF!</v>
      </c>
      <c r="I51" s="87" t="e">
        <f t="shared" si="11"/>
        <v>#REF!</v>
      </c>
      <c r="J51" s="82"/>
    </row>
    <row r="52" spans="2:11" ht="16.5" thickTop="1" thickBot="1" x14ac:dyDescent="0.3">
      <c r="B52" s="77" t="s">
        <v>2</v>
      </c>
      <c r="C52" s="91" t="e">
        <f t="shared" ref="C52:I52" si="12">C33+C42+C51</f>
        <v>#REF!</v>
      </c>
      <c r="D52" s="91" t="e">
        <f t="shared" si="12"/>
        <v>#REF!</v>
      </c>
      <c r="E52" s="91" t="e">
        <f t="shared" si="12"/>
        <v>#REF!</v>
      </c>
      <c r="F52" s="91" t="e">
        <f t="shared" si="12"/>
        <v>#REF!</v>
      </c>
      <c r="G52" s="91" t="e">
        <f t="shared" si="12"/>
        <v>#REF!</v>
      </c>
      <c r="H52" s="91" t="e">
        <f t="shared" si="12"/>
        <v>#REF!</v>
      </c>
      <c r="I52" s="92" t="e">
        <f t="shared" si="12"/>
        <v>#REF!</v>
      </c>
      <c r="J52" s="84"/>
      <c r="K52" s="8"/>
    </row>
    <row r="53" spans="2:11" x14ac:dyDescent="0.25">
      <c r="B53" s="280" t="s">
        <v>13</v>
      </c>
      <c r="C53" s="280"/>
      <c r="D53" s="280"/>
      <c r="E53" s="280"/>
      <c r="F53" s="78" t="e">
        <f>F52/$E$52</f>
        <v>#REF!</v>
      </c>
      <c r="G53" s="78" t="e">
        <f>G52/$E$52</f>
        <v>#REF!</v>
      </c>
      <c r="H53" s="78" t="e">
        <f>H52/$E$52</f>
        <v>#REF!</v>
      </c>
      <c r="I53" s="78" t="e">
        <f>I52/$E$52</f>
        <v>#REF!</v>
      </c>
      <c r="J53" s="85"/>
      <c r="K53" s="8"/>
    </row>
    <row r="54" spans="2:11" x14ac:dyDescent="0.25">
      <c r="D54" s="78"/>
      <c r="I54" s="8"/>
      <c r="K54" s="8">
        <f>+K52-K53</f>
        <v>0</v>
      </c>
    </row>
    <row r="55" spans="2:11" x14ac:dyDescent="0.25">
      <c r="B55" t="s">
        <v>17</v>
      </c>
      <c r="D55" t="s">
        <v>16</v>
      </c>
      <c r="H55" t="s">
        <v>7</v>
      </c>
      <c r="I55" s="8"/>
      <c r="K55" s="8"/>
    </row>
    <row r="56" spans="2:11" x14ac:dyDescent="0.25">
      <c r="K56" s="8"/>
    </row>
    <row r="58" spans="2:11" x14ac:dyDescent="0.25">
      <c r="K58" s="8"/>
    </row>
    <row r="59" spans="2:11" x14ac:dyDescent="0.25">
      <c r="B59" s="6"/>
      <c r="D59" s="6"/>
      <c r="E59" s="6"/>
      <c r="F59" s="6"/>
      <c r="H59" s="6"/>
      <c r="I59" s="6"/>
      <c r="K59" s="8"/>
    </row>
    <row r="60" spans="2:11" x14ac:dyDescent="0.25">
      <c r="B60" s="5" t="s">
        <v>144</v>
      </c>
      <c r="D60" s="5" t="s">
        <v>93</v>
      </c>
      <c r="H60" s="5" t="s">
        <v>18</v>
      </c>
      <c r="K60" s="8"/>
    </row>
    <row r="61" spans="2:11" x14ac:dyDescent="0.25">
      <c r="B61" t="s">
        <v>146</v>
      </c>
      <c r="D61" t="s">
        <v>145</v>
      </c>
      <c r="H61" t="s">
        <v>19</v>
      </c>
    </row>
    <row r="62" spans="2:11" x14ac:dyDescent="0.25">
      <c r="B62" t="s">
        <v>14</v>
      </c>
      <c r="D62" t="s">
        <v>14</v>
      </c>
      <c r="H62" t="s">
        <v>112</v>
      </c>
    </row>
  </sheetData>
  <mergeCells count="15">
    <mergeCell ref="E11:F11"/>
    <mergeCell ref="B1:I1"/>
    <mergeCell ref="B3:I3"/>
    <mergeCell ref="E8:F8"/>
    <mergeCell ref="E9:F9"/>
    <mergeCell ref="E10:F10"/>
    <mergeCell ref="B24:B25"/>
    <mergeCell ref="C24:I24"/>
    <mergeCell ref="B53:E53"/>
    <mergeCell ref="E12:F12"/>
    <mergeCell ref="E13:F13"/>
    <mergeCell ref="E14:F14"/>
    <mergeCell ref="E15:F15"/>
    <mergeCell ref="E16:F16"/>
    <mergeCell ref="E17:F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  <colBreaks count="1" manualBreakCount="1">
    <brk id="9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INFORME GENERAL</vt:lpstr>
      <vt:lpstr>DETALLE ABRIL</vt:lpstr>
      <vt:lpstr>INFORME GENERAL (2)</vt:lpstr>
      <vt:lpstr>'DETALLE ABRIL'!Área_de_impresión</vt:lpstr>
      <vt:lpstr>'INFORME GENERAL'!Área_de_impresión</vt:lpstr>
      <vt:lpstr>'INFORME GENERAL (2)'!Área_de_impresión</vt:lpstr>
      <vt:lpstr>'DETALLE ABRIL'!Títulos_a_imprimir</vt:lpstr>
    </vt:vector>
  </TitlesOfParts>
  <Company>idipron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Paolav</dc:creator>
  <cp:lastModifiedBy>JOHN.FERNANDEZ</cp:lastModifiedBy>
  <cp:lastPrinted>2019-05-17T14:59:06Z</cp:lastPrinted>
  <dcterms:created xsi:type="dcterms:W3CDTF">2016-05-20T20:35:50Z</dcterms:created>
  <dcterms:modified xsi:type="dcterms:W3CDTF">2019-07-19T15:18:43Z</dcterms:modified>
</cp:coreProperties>
</file>