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fernandez\Documents\031 SECOP\informes convenio 0312018\Informes  2018 312018\Informes   TOTALES 2018 312018\4 FEBRERO 2019\"/>
    </mc:Choice>
  </mc:AlternateContent>
  <xr:revisionPtr revIDLastSave="0" documentId="8_{AE614322-C917-4CCB-9397-31B29F6427E0}" xr6:coauthVersionLast="36" xr6:coauthVersionMax="36" xr10:uidLastSave="{00000000-0000-0000-0000-000000000000}"/>
  <bookViews>
    <workbookView xWindow="0" yWindow="0" windowWidth="20490" windowHeight="5445" activeTab="1" xr2:uid="{00000000-000D-0000-FFFF-FFFF00000000}"/>
  </bookViews>
  <sheets>
    <sheet name="INFORME GENERAL" sheetId="3" r:id="rId1"/>
    <sheet name="DETALLE FEBRERO " sheetId="5" r:id="rId2"/>
    <sheet name="INFORME GENERAL (2)" sheetId="4" state="hidden" r:id="rId3"/>
  </sheets>
  <externalReferences>
    <externalReference r:id="rId4"/>
  </externalReferences>
  <definedNames>
    <definedName name="_xlnm.Print_Area" localSheetId="1">'DETALLE FEBRERO '!$A$1:$AA$211</definedName>
    <definedName name="_xlnm.Print_Area" localSheetId="0">'INFORME GENERAL'!$A$1:$I$67</definedName>
    <definedName name="_xlnm.Print_Area" localSheetId="2">'INFORME GENERAL (2)'!$A$1:$I$63</definedName>
    <definedName name="_xlnm.Print_Titles" localSheetId="1">'DETALLE FEBRERO '!$24:$25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3" i="5" l="1"/>
  <c r="T144" i="5"/>
  <c r="O153" i="5"/>
  <c r="O192" i="5" l="1"/>
  <c r="O194" i="5"/>
  <c r="O190" i="5"/>
  <c r="T167" i="5"/>
  <c r="T109" i="5"/>
  <c r="Z109" i="5" s="1"/>
  <c r="Z108" i="5" s="1"/>
  <c r="Z111" i="5"/>
  <c r="Z110" i="5" s="1"/>
  <c r="O174" i="5"/>
  <c r="H174" i="5"/>
  <c r="Z167" i="5"/>
  <c r="Z166" i="5" s="1"/>
  <c r="AA166" i="5" s="1"/>
  <c r="T175" i="5"/>
  <c r="I44" i="3"/>
  <c r="I46" i="3"/>
  <c r="O199" i="5"/>
  <c r="Z186" i="5"/>
  <c r="Z94" i="5"/>
  <c r="Z93" i="5"/>
  <c r="Z92" i="5"/>
  <c r="Z84" i="5"/>
  <c r="Z78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32" i="5"/>
  <c r="S178" i="5" l="1"/>
  <c r="T178" i="5"/>
  <c r="T180" i="5" s="1"/>
  <c r="S121" i="5"/>
  <c r="Z121" i="5" s="1"/>
  <c r="Z120" i="5" s="1"/>
  <c r="T121" i="5"/>
  <c r="T122" i="5" s="1"/>
  <c r="T185" i="5"/>
  <c r="T152" i="5"/>
  <c r="T151" i="5"/>
  <c r="T150" i="5"/>
  <c r="T149" i="5"/>
  <c r="T148" i="5"/>
  <c r="T91" i="5"/>
  <c r="Z91" i="5" s="1"/>
  <c r="T90" i="5"/>
  <c r="Z90" i="5" s="1"/>
  <c r="T89" i="5"/>
  <c r="Z89" i="5" s="1"/>
  <c r="T88" i="5"/>
  <c r="Z88" i="5" s="1"/>
  <c r="T87" i="5"/>
  <c r="Z87" i="5" s="1"/>
  <c r="U133" i="5"/>
  <c r="V133" i="5"/>
  <c r="W133" i="5"/>
  <c r="X133" i="5"/>
  <c r="T139" i="5"/>
  <c r="T44" i="5"/>
  <c r="T138" i="5"/>
  <c r="T137" i="5"/>
  <c r="T43" i="5"/>
  <c r="T42" i="5"/>
  <c r="T143" i="5"/>
  <c r="T142" i="5"/>
  <c r="T141" i="5" s="1"/>
  <c r="T82" i="5"/>
  <c r="Z82" i="5" s="1"/>
  <c r="T81" i="5"/>
  <c r="Z81" i="5" s="1"/>
  <c r="T77" i="5"/>
  <c r="T76" i="5"/>
  <c r="T73" i="5"/>
  <c r="T46" i="5"/>
  <c r="T34" i="5"/>
  <c r="T31" i="5"/>
  <c r="T134" i="5"/>
  <c r="T133" i="5" s="1"/>
  <c r="T30" i="5"/>
  <c r="T37" i="5"/>
  <c r="T36" i="5" s="1"/>
  <c r="T131" i="5"/>
  <c r="T27" i="5"/>
  <c r="I180" i="5"/>
  <c r="H180" i="5"/>
  <c r="R180" i="5"/>
  <c r="O180" i="5"/>
  <c r="T41" i="5" l="1"/>
  <c r="T147" i="5"/>
  <c r="T136" i="5"/>
  <c r="Z178" i="5"/>
  <c r="AA178" i="5" s="1"/>
  <c r="T86" i="5"/>
  <c r="T80" i="5"/>
  <c r="Z83" i="5"/>
  <c r="S122" i="5"/>
  <c r="C48" i="3"/>
  <c r="C47" i="3"/>
  <c r="C45" i="3"/>
  <c r="C43" i="3"/>
  <c r="C17" i="3"/>
  <c r="C16" i="3"/>
  <c r="C13" i="3"/>
  <c r="C12" i="3"/>
  <c r="C9" i="3"/>
  <c r="C8" i="3"/>
  <c r="C7" i="3"/>
  <c r="C6" i="3"/>
  <c r="C5" i="3"/>
  <c r="C49" i="3" l="1"/>
  <c r="C15" i="3"/>
  <c r="C19" i="3"/>
  <c r="L203" i="5"/>
  <c r="K203" i="5"/>
  <c r="F47" i="3"/>
  <c r="I47" i="3" s="1"/>
  <c r="F45" i="3"/>
  <c r="I45" i="3" s="1"/>
  <c r="E46" i="3"/>
  <c r="G46" i="3" s="1"/>
  <c r="E44" i="3"/>
  <c r="G44" i="3" s="1"/>
  <c r="D48" i="3"/>
  <c r="E48" i="3" s="1"/>
  <c r="D47" i="3"/>
  <c r="E47" i="3" s="1"/>
  <c r="D45" i="3"/>
  <c r="E45" i="3" s="1"/>
  <c r="D43" i="3"/>
  <c r="I38" i="3"/>
  <c r="Z179" i="5"/>
  <c r="AA179" i="5" s="1"/>
  <c r="Z176" i="5"/>
  <c r="AA176" i="5" s="1"/>
  <c r="E38" i="3"/>
  <c r="G38" i="3" s="1"/>
  <c r="G45" i="3" l="1"/>
  <c r="G47" i="3"/>
  <c r="D49" i="3"/>
  <c r="E43" i="3"/>
  <c r="E49" i="3" s="1"/>
  <c r="E128" i="5"/>
  <c r="C30" i="3" s="1"/>
  <c r="E30" i="3" s="1"/>
  <c r="E59" i="5" l="1"/>
  <c r="E60" i="5"/>
  <c r="E62" i="5"/>
  <c r="E63" i="5"/>
  <c r="E64" i="5"/>
  <c r="E65" i="5"/>
  <c r="E66" i="5"/>
  <c r="E67" i="5"/>
  <c r="E68" i="5"/>
  <c r="E69" i="5"/>
  <c r="E70" i="5"/>
  <c r="Z198" i="5"/>
  <c r="Z196" i="5"/>
  <c r="Z188" i="5"/>
  <c r="Z173" i="5"/>
  <c r="Z174" i="5" s="1"/>
  <c r="H36" i="3" s="1"/>
  <c r="Z172" i="5"/>
  <c r="Z171" i="5"/>
  <c r="Z170" i="5"/>
  <c r="Z169" i="5"/>
  <c r="Z168" i="5"/>
  <c r="Z165" i="5"/>
  <c r="Z164" i="5"/>
  <c r="AA159" i="5"/>
  <c r="AA157" i="5"/>
  <c r="Z119" i="5"/>
  <c r="Z122" i="5" s="1"/>
  <c r="Z117" i="5"/>
  <c r="AA117" i="5" s="1"/>
  <c r="Z99" i="5"/>
  <c r="AA99" i="5" s="1"/>
  <c r="Z100" i="5"/>
  <c r="Z101" i="5"/>
  <c r="Z102" i="5"/>
  <c r="AA102" i="5" s="1"/>
  <c r="Z103" i="5"/>
  <c r="AA103" i="5" s="1"/>
  <c r="Z104" i="5"/>
  <c r="AA104" i="5" s="1"/>
  <c r="Z105" i="5"/>
  <c r="Z106" i="5"/>
  <c r="AA106" i="5" s="1"/>
  <c r="Z107" i="5"/>
  <c r="AA107" i="5" s="1"/>
  <c r="Z112" i="5"/>
  <c r="AA112" i="5" s="1"/>
  <c r="Z113" i="5"/>
  <c r="Z114" i="5"/>
  <c r="AA114" i="5" s="1"/>
  <c r="Z115" i="5"/>
  <c r="Z116" i="5"/>
  <c r="AA116" i="5" s="1"/>
  <c r="O155" i="5"/>
  <c r="O154" i="5"/>
  <c r="O152" i="5"/>
  <c r="O151" i="5"/>
  <c r="O150" i="5"/>
  <c r="O149" i="5"/>
  <c r="O148" i="5"/>
  <c r="O145" i="5"/>
  <c r="O144" i="5"/>
  <c r="O143" i="5"/>
  <c r="O142" i="5"/>
  <c r="Z139" i="5"/>
  <c r="AA113" i="5"/>
  <c r="AA110" i="5"/>
  <c r="AA108" i="5"/>
  <c r="AA105" i="5"/>
  <c r="AA101" i="5"/>
  <c r="AA100" i="5"/>
  <c r="AA33" i="5"/>
  <c r="E81" i="5"/>
  <c r="H139" i="5"/>
  <c r="O139" i="5" s="1"/>
  <c r="H137" i="5"/>
  <c r="E44" i="5"/>
  <c r="E43" i="5"/>
  <c r="E42" i="5"/>
  <c r="H138" i="5"/>
  <c r="H136" i="5"/>
  <c r="E46" i="5"/>
  <c r="E76" i="5"/>
  <c r="E73" i="5"/>
  <c r="N110" i="5"/>
  <c r="P110" i="5" s="1"/>
  <c r="Z192" i="5"/>
  <c r="S201" i="5"/>
  <c r="R201" i="5"/>
  <c r="Q201" i="5"/>
  <c r="S199" i="5"/>
  <c r="S203" i="5" s="1"/>
  <c r="R199" i="5"/>
  <c r="Q199" i="5"/>
  <c r="S181" i="5"/>
  <c r="S182" i="5" s="1"/>
  <c r="R181" i="5"/>
  <c r="R182" i="5" s="1"/>
  <c r="Q181" i="5"/>
  <c r="Q182" i="5" s="1"/>
  <c r="R190" i="5"/>
  <c r="Q190" i="5"/>
  <c r="Q180" i="5"/>
  <c r="Z177" i="5"/>
  <c r="S174" i="5"/>
  <c r="R174" i="5"/>
  <c r="Q174" i="5"/>
  <c r="S159" i="5"/>
  <c r="R159" i="5"/>
  <c r="Q159" i="5"/>
  <c r="S157" i="5"/>
  <c r="R157" i="5"/>
  <c r="Q157" i="5"/>
  <c r="R138" i="5"/>
  <c r="R137" i="5"/>
  <c r="R122" i="5"/>
  <c r="Q122" i="5"/>
  <c r="S118" i="5"/>
  <c r="R118" i="5"/>
  <c r="Q118" i="5"/>
  <c r="Q134" i="5"/>
  <c r="Q131" i="5"/>
  <c r="Q132" i="5" s="1"/>
  <c r="Q126" i="5"/>
  <c r="K204" i="5"/>
  <c r="AA196" i="5"/>
  <c r="O188" i="5"/>
  <c r="O186" i="5"/>
  <c r="AA186" i="5" s="1"/>
  <c r="Q185" i="5"/>
  <c r="Z185" i="5" s="1"/>
  <c r="H43" i="3" s="1"/>
  <c r="Z155" i="5"/>
  <c r="Z154" i="5"/>
  <c r="Z153" i="5"/>
  <c r="Z152" i="5"/>
  <c r="Z151" i="5"/>
  <c r="Z150" i="5"/>
  <c r="Z149" i="5"/>
  <c r="Z148" i="5"/>
  <c r="Z145" i="5"/>
  <c r="Z144" i="5"/>
  <c r="Z143" i="5"/>
  <c r="Z142" i="5"/>
  <c r="Z77" i="5"/>
  <c r="Z35" i="5"/>
  <c r="Z37" i="5"/>
  <c r="Z38" i="5"/>
  <c r="Z39" i="5"/>
  <c r="Z44" i="5"/>
  <c r="Z73" i="5"/>
  <c r="Z76" i="5"/>
  <c r="Z98" i="5"/>
  <c r="Z158" i="5"/>
  <c r="Z157" i="5" s="1"/>
  <c r="Z160" i="5"/>
  <c r="Z159" i="5" s="1"/>
  <c r="AA198" i="5"/>
  <c r="T28" i="5"/>
  <c r="T29" i="5"/>
  <c r="T72" i="5"/>
  <c r="T75" i="5"/>
  <c r="T118" i="5"/>
  <c r="T123" i="5"/>
  <c r="T125" i="5" s="1"/>
  <c r="T128" i="5"/>
  <c r="T132" i="5"/>
  <c r="T157" i="5"/>
  <c r="T159" i="5"/>
  <c r="T174" i="5"/>
  <c r="T182" i="5"/>
  <c r="T199" i="5"/>
  <c r="T203" i="5" s="1"/>
  <c r="T201" i="5"/>
  <c r="F180" i="5"/>
  <c r="G180" i="5"/>
  <c r="C37" i="3"/>
  <c r="D37" i="3"/>
  <c r="J180" i="5"/>
  <c r="K180" i="5"/>
  <c r="L180" i="5"/>
  <c r="M180" i="5"/>
  <c r="E180" i="5"/>
  <c r="I182" i="5"/>
  <c r="D39" i="3" s="1"/>
  <c r="U162" i="5"/>
  <c r="K188" i="5"/>
  <c r="K186" i="5"/>
  <c r="Z190" i="5" l="1"/>
  <c r="T162" i="5"/>
  <c r="T183" i="5"/>
  <c r="T208" i="5" s="1"/>
  <c r="Z118" i="5"/>
  <c r="T163" i="5"/>
  <c r="T96" i="5"/>
  <c r="T129" i="5" s="1"/>
  <c r="T207" i="5" s="1"/>
  <c r="T210" i="5" s="1"/>
  <c r="AA144" i="5"/>
  <c r="AA150" i="5"/>
  <c r="AA190" i="5"/>
  <c r="T204" i="5"/>
  <c r="T209" i="5"/>
  <c r="AA139" i="5"/>
  <c r="AA143" i="5"/>
  <c r="AA149" i="5"/>
  <c r="AA142" i="5"/>
  <c r="AA148" i="5"/>
  <c r="AA152" i="5"/>
  <c r="E37" i="3"/>
  <c r="F37" i="3"/>
  <c r="Z141" i="5"/>
  <c r="H27" i="3"/>
  <c r="AA188" i="5"/>
  <c r="AA185" i="5" s="1"/>
  <c r="S180" i="5"/>
  <c r="Q203" i="5"/>
  <c r="AA145" i="5"/>
  <c r="AA151" i="5"/>
  <c r="Z147" i="5"/>
  <c r="R136" i="5"/>
  <c r="Z181" i="5"/>
  <c r="Z182" i="5" s="1"/>
  <c r="H39" i="3" s="1"/>
  <c r="Q128" i="5"/>
  <c r="O141" i="5"/>
  <c r="R203" i="5"/>
  <c r="AA153" i="5"/>
  <c r="Q133" i="5"/>
  <c r="AA154" i="5"/>
  <c r="AA155" i="5"/>
  <c r="O147" i="5"/>
  <c r="O185" i="5"/>
  <c r="T205" i="5" l="1"/>
  <c r="AA147" i="5"/>
  <c r="AA141" i="5"/>
  <c r="F43" i="3"/>
  <c r="G37" i="3"/>
  <c r="S43" i="5"/>
  <c r="R43" i="5"/>
  <c r="Q43" i="5"/>
  <c r="S42" i="5"/>
  <c r="R42" i="5"/>
  <c r="Q42" i="5"/>
  <c r="O83" i="5"/>
  <c r="AA83" i="5" s="1"/>
  <c r="O79" i="5"/>
  <c r="AA79" i="5" s="1"/>
  <c r="N86" i="5"/>
  <c r="N80" i="5"/>
  <c r="E75" i="5"/>
  <c r="N75" i="5" s="1"/>
  <c r="O94" i="5"/>
  <c r="AA94" i="5" s="1"/>
  <c r="O93" i="5"/>
  <c r="AA93" i="5" s="1"/>
  <c r="O92" i="5"/>
  <c r="AA92" i="5" s="1"/>
  <c r="O91" i="5"/>
  <c r="AA91" i="5" s="1"/>
  <c r="O90" i="5"/>
  <c r="AA90" i="5" s="1"/>
  <c r="O89" i="5"/>
  <c r="AA89" i="5" s="1"/>
  <c r="O88" i="5"/>
  <c r="AA88" i="5" s="1"/>
  <c r="O87" i="5"/>
  <c r="AA87" i="5" s="1"/>
  <c r="O84" i="5"/>
  <c r="AA84" i="5" s="1"/>
  <c r="O82" i="5"/>
  <c r="AA82" i="5" s="1"/>
  <c r="O81" i="5"/>
  <c r="AA81" i="5" s="1"/>
  <c r="E78" i="5"/>
  <c r="O78" i="5" s="1"/>
  <c r="AA78" i="5" s="1"/>
  <c r="AA77" i="5" s="1"/>
  <c r="O73" i="5"/>
  <c r="O70" i="5"/>
  <c r="AA70" i="5" s="1"/>
  <c r="O69" i="5"/>
  <c r="AA69" i="5" s="1"/>
  <c r="O68" i="5"/>
  <c r="AA68" i="5" s="1"/>
  <c r="O67" i="5"/>
  <c r="AA67" i="5" s="1"/>
  <c r="O66" i="5"/>
  <c r="AA66" i="5" s="1"/>
  <c r="O65" i="5"/>
  <c r="AA65" i="5" s="1"/>
  <c r="O64" i="5"/>
  <c r="AA64" i="5" s="1"/>
  <c r="O63" i="5"/>
  <c r="AA63" i="5" s="1"/>
  <c r="O62" i="5"/>
  <c r="AA62" i="5" s="1"/>
  <c r="O60" i="5"/>
  <c r="AA60" i="5" s="1"/>
  <c r="O59" i="5"/>
  <c r="E39" i="5"/>
  <c r="O39" i="5" s="1"/>
  <c r="AA39" i="5" s="1"/>
  <c r="E38" i="5"/>
  <c r="O38" i="5" s="1"/>
  <c r="AA38" i="5" s="1"/>
  <c r="E37" i="5"/>
  <c r="O37" i="5" s="1"/>
  <c r="O35" i="5"/>
  <c r="O32" i="5"/>
  <c r="AA32" i="5" s="1"/>
  <c r="E48" i="5"/>
  <c r="O48" i="5" s="1"/>
  <c r="AA48" i="5" s="1"/>
  <c r="E49" i="5"/>
  <c r="O49" i="5" s="1"/>
  <c r="AA49" i="5" s="1"/>
  <c r="E50" i="5"/>
  <c r="O50" i="5" s="1"/>
  <c r="AA50" i="5" s="1"/>
  <c r="E51" i="5"/>
  <c r="O51" i="5" s="1"/>
  <c r="AA51" i="5" s="1"/>
  <c r="E52" i="5"/>
  <c r="O52" i="5" s="1"/>
  <c r="AA52" i="5" s="1"/>
  <c r="E53" i="5"/>
  <c r="O53" i="5" s="1"/>
  <c r="AA53" i="5" s="1"/>
  <c r="E54" i="5"/>
  <c r="O54" i="5" s="1"/>
  <c r="AA54" i="5" s="1"/>
  <c r="E55" i="5"/>
  <c r="O55" i="5" s="1"/>
  <c r="AA55" i="5" s="1"/>
  <c r="E56" i="5"/>
  <c r="O56" i="5" s="1"/>
  <c r="AA56" i="5" s="1"/>
  <c r="E57" i="5"/>
  <c r="O57" i="5" s="1"/>
  <c r="AA57" i="5" s="1"/>
  <c r="E58" i="5"/>
  <c r="O58" i="5" s="1"/>
  <c r="AA58" i="5" s="1"/>
  <c r="E47" i="5"/>
  <c r="O47" i="5" s="1"/>
  <c r="AA47" i="5" s="1"/>
  <c r="E77" i="5"/>
  <c r="N77" i="5" s="1"/>
  <c r="E72" i="5"/>
  <c r="N72" i="5" s="1"/>
  <c r="N46" i="5"/>
  <c r="E36" i="5"/>
  <c r="N36" i="5" s="1"/>
  <c r="E34" i="5"/>
  <c r="N34" i="5" s="1"/>
  <c r="E31" i="5"/>
  <c r="N31" i="5" s="1"/>
  <c r="E29" i="5"/>
  <c r="O42" i="5"/>
  <c r="N185" i="5"/>
  <c r="P185" i="5" s="1"/>
  <c r="M209" i="5"/>
  <c r="J208" i="5"/>
  <c r="M203" i="5"/>
  <c r="J203" i="5"/>
  <c r="G203" i="5"/>
  <c r="Y201" i="5"/>
  <c r="X201" i="5"/>
  <c r="W201" i="5"/>
  <c r="V201" i="5"/>
  <c r="U201" i="5"/>
  <c r="N201" i="5"/>
  <c r="P201" i="5" s="1"/>
  <c r="Y199" i="5"/>
  <c r="X199" i="5"/>
  <c r="W199" i="5"/>
  <c r="V199" i="5"/>
  <c r="U199" i="5"/>
  <c r="O203" i="5"/>
  <c r="N199" i="5"/>
  <c r="N198" i="5"/>
  <c r="P198" i="5" s="1"/>
  <c r="N196" i="5"/>
  <c r="P196" i="5" s="1"/>
  <c r="Y194" i="5"/>
  <c r="X194" i="5"/>
  <c r="W194" i="5"/>
  <c r="V194" i="5"/>
  <c r="U194" i="5"/>
  <c r="N194" i="5"/>
  <c r="AA192" i="5"/>
  <c r="N192" i="5"/>
  <c r="N190" i="5"/>
  <c r="X182" i="5"/>
  <c r="W182" i="5"/>
  <c r="V182" i="5"/>
  <c r="U182" i="5"/>
  <c r="H182" i="5"/>
  <c r="C39" i="3" s="1"/>
  <c r="E39" i="3" s="1"/>
  <c r="N181" i="5"/>
  <c r="N179" i="5"/>
  <c r="P179" i="5" s="1"/>
  <c r="N177" i="5"/>
  <c r="P177" i="5" s="1"/>
  <c r="N176" i="5"/>
  <c r="P176" i="5" s="1"/>
  <c r="Y175" i="5"/>
  <c r="Y180" i="5" s="1"/>
  <c r="X175" i="5"/>
  <c r="X180" i="5" s="1"/>
  <c r="W175" i="5"/>
  <c r="W180" i="5" s="1"/>
  <c r="V175" i="5"/>
  <c r="V180" i="5" s="1"/>
  <c r="U175" i="5"/>
  <c r="N175" i="5"/>
  <c r="Y174" i="5"/>
  <c r="X174" i="5"/>
  <c r="W174" i="5"/>
  <c r="V174" i="5"/>
  <c r="U174" i="5"/>
  <c r="M174" i="5"/>
  <c r="M182" i="5" s="1"/>
  <c r="L174" i="5"/>
  <c r="K174" i="5"/>
  <c r="C36" i="3"/>
  <c r="F174" i="5"/>
  <c r="E174" i="5"/>
  <c r="AA173" i="5"/>
  <c r="N173" i="5"/>
  <c r="P173" i="5" s="1"/>
  <c r="AA172" i="5"/>
  <c r="N172" i="5"/>
  <c r="P172" i="5" s="1"/>
  <c r="AA171" i="5"/>
  <c r="N171" i="5"/>
  <c r="P171" i="5" s="1"/>
  <c r="AA170" i="5"/>
  <c r="N170" i="5"/>
  <c r="P170" i="5" s="1"/>
  <c r="AA168" i="5"/>
  <c r="I168" i="5"/>
  <c r="N169" i="5"/>
  <c r="N166" i="5"/>
  <c r="P166" i="5" s="1"/>
  <c r="AA165" i="5"/>
  <c r="N165" i="5"/>
  <c r="P165" i="5" s="1"/>
  <c r="AA164" i="5"/>
  <c r="N164" i="5"/>
  <c r="F36" i="3"/>
  <c r="I36" i="3" s="1"/>
  <c r="M163" i="5"/>
  <c r="X132" i="5"/>
  <c r="W132" i="5"/>
  <c r="V132" i="5"/>
  <c r="U132" i="5"/>
  <c r="U163" i="5" s="1"/>
  <c r="M132" i="5"/>
  <c r="L132" i="5"/>
  <c r="J132" i="5"/>
  <c r="I132" i="5"/>
  <c r="D35" i="3" s="1"/>
  <c r="G132" i="5"/>
  <c r="F132" i="5"/>
  <c r="F163" i="5" s="1"/>
  <c r="E132" i="5"/>
  <c r="E163" i="5" s="1"/>
  <c r="Y132" i="5"/>
  <c r="S131" i="5"/>
  <c r="S132" i="5" s="1"/>
  <c r="R131" i="5"/>
  <c r="M162" i="5"/>
  <c r="L162" i="5"/>
  <c r="J162" i="5"/>
  <c r="G162" i="5"/>
  <c r="S138" i="5"/>
  <c r="Q138" i="5"/>
  <c r="O138" i="5"/>
  <c r="S137" i="5"/>
  <c r="Q137" i="5"/>
  <c r="O137" i="5"/>
  <c r="N136" i="5"/>
  <c r="N147" i="5"/>
  <c r="P147" i="5" s="1"/>
  <c r="X141" i="5"/>
  <c r="W141" i="5"/>
  <c r="V141" i="5"/>
  <c r="R141" i="5"/>
  <c r="Q141" i="5"/>
  <c r="N141" i="5"/>
  <c r="P141" i="5" s="1"/>
  <c r="O161" i="5"/>
  <c r="O160" i="5"/>
  <c r="Y159" i="5"/>
  <c r="X159" i="5"/>
  <c r="W159" i="5"/>
  <c r="V159" i="5"/>
  <c r="I159" i="5"/>
  <c r="H159" i="5"/>
  <c r="O158" i="5"/>
  <c r="O157" i="5" s="1"/>
  <c r="Y157" i="5"/>
  <c r="X157" i="5"/>
  <c r="W157" i="5"/>
  <c r="I157" i="5"/>
  <c r="H157" i="5"/>
  <c r="S134" i="5"/>
  <c r="S133" i="5" s="1"/>
  <c r="R134" i="5"/>
  <c r="O134" i="5"/>
  <c r="H133" i="5"/>
  <c r="O133" i="5" s="1"/>
  <c r="X128" i="5"/>
  <c r="W128" i="5"/>
  <c r="V128" i="5"/>
  <c r="U128" i="5"/>
  <c r="L128" i="5"/>
  <c r="L129" i="5" s="1"/>
  <c r="I128" i="5"/>
  <c r="H128" i="5"/>
  <c r="F128" i="5"/>
  <c r="R127" i="5"/>
  <c r="Z127" i="5" s="1"/>
  <c r="N127" i="5"/>
  <c r="S126" i="5"/>
  <c r="S128" i="5" s="1"/>
  <c r="R126" i="5"/>
  <c r="N126" i="5"/>
  <c r="V125" i="5"/>
  <c r="O125" i="5"/>
  <c r="F29" i="3" s="1"/>
  <c r="M125" i="5"/>
  <c r="L125" i="5"/>
  <c r="K125" i="5"/>
  <c r="J125" i="5"/>
  <c r="I125" i="5"/>
  <c r="H125" i="5"/>
  <c r="G125" i="5"/>
  <c r="F125" i="5"/>
  <c r="E125" i="5"/>
  <c r="C29" i="3" s="1"/>
  <c r="E29" i="3" s="1"/>
  <c r="Y123" i="5"/>
  <c r="X123" i="5"/>
  <c r="X125" i="5" s="1"/>
  <c r="W123" i="5"/>
  <c r="W125" i="5" s="1"/>
  <c r="U123" i="5"/>
  <c r="U125" i="5" s="1"/>
  <c r="S123" i="5"/>
  <c r="S125" i="5" s="1"/>
  <c r="R123" i="5"/>
  <c r="R125" i="5" s="1"/>
  <c r="Q123" i="5"/>
  <c r="N123" i="5"/>
  <c r="N125" i="5" s="1"/>
  <c r="M122" i="5"/>
  <c r="I122" i="5"/>
  <c r="H122" i="5"/>
  <c r="F122" i="5"/>
  <c r="E122" i="5"/>
  <c r="C28" i="3" s="1"/>
  <c r="E28" i="3" s="1"/>
  <c r="N120" i="5"/>
  <c r="Y122" i="5"/>
  <c r="Y120" i="5" s="1"/>
  <c r="X122" i="5"/>
  <c r="W122" i="5"/>
  <c r="V122" i="5"/>
  <c r="U122" i="5"/>
  <c r="N119" i="5"/>
  <c r="Y118" i="5"/>
  <c r="X118" i="5"/>
  <c r="W118" i="5"/>
  <c r="V118" i="5"/>
  <c r="U118" i="5"/>
  <c r="M118" i="5"/>
  <c r="L118" i="5"/>
  <c r="K118" i="5"/>
  <c r="I118" i="5"/>
  <c r="H118" i="5"/>
  <c r="F118" i="5"/>
  <c r="D27" i="3" s="1"/>
  <c r="D31" i="3" s="1"/>
  <c r="N117" i="5"/>
  <c r="P117" i="5" s="1"/>
  <c r="N116" i="5"/>
  <c r="P116" i="5" s="1"/>
  <c r="O115" i="5"/>
  <c r="AA115" i="5" s="1"/>
  <c r="N115" i="5"/>
  <c r="D115" i="5"/>
  <c r="N114" i="5"/>
  <c r="P114" i="5" s="1"/>
  <c r="N113" i="5"/>
  <c r="P113" i="5" s="1"/>
  <c r="N112" i="5"/>
  <c r="P112" i="5" s="1"/>
  <c r="N108" i="5"/>
  <c r="N107" i="5"/>
  <c r="P107" i="5" s="1"/>
  <c r="N106" i="5"/>
  <c r="P106" i="5" s="1"/>
  <c r="N105" i="5"/>
  <c r="P105" i="5" s="1"/>
  <c r="N104" i="5"/>
  <c r="P104" i="5" s="1"/>
  <c r="N103" i="5"/>
  <c r="P103" i="5" s="1"/>
  <c r="E102" i="5"/>
  <c r="N102" i="5" s="1"/>
  <c r="P102" i="5" s="1"/>
  <c r="E101" i="5"/>
  <c r="N100" i="5"/>
  <c r="P100" i="5" s="1"/>
  <c r="N99" i="5"/>
  <c r="P99" i="5" s="1"/>
  <c r="N98" i="5"/>
  <c r="M97" i="5"/>
  <c r="L97" i="5"/>
  <c r="J97" i="5"/>
  <c r="G97" i="5"/>
  <c r="M96" i="5"/>
  <c r="L96" i="5"/>
  <c r="J96" i="5"/>
  <c r="I96" i="5"/>
  <c r="G96" i="5"/>
  <c r="F96" i="5"/>
  <c r="Y86" i="5"/>
  <c r="X86" i="5"/>
  <c r="W86" i="5"/>
  <c r="V86" i="5"/>
  <c r="U86" i="5"/>
  <c r="S86" i="5"/>
  <c r="R86" i="5"/>
  <c r="Q86" i="5"/>
  <c r="K86" i="5"/>
  <c r="H86" i="5"/>
  <c r="Y80" i="5"/>
  <c r="X80" i="5"/>
  <c r="W80" i="5"/>
  <c r="V80" i="5"/>
  <c r="U80" i="5"/>
  <c r="S80" i="5"/>
  <c r="R80" i="5"/>
  <c r="Q80" i="5"/>
  <c r="K80" i="5"/>
  <c r="H80" i="5"/>
  <c r="O76" i="5"/>
  <c r="Y75" i="5"/>
  <c r="X75" i="5"/>
  <c r="W75" i="5"/>
  <c r="V75" i="5"/>
  <c r="U75" i="5"/>
  <c r="S75" i="5"/>
  <c r="R75" i="5"/>
  <c r="Q75" i="5"/>
  <c r="K75" i="5"/>
  <c r="Y72" i="5"/>
  <c r="Y46" i="5" s="1"/>
  <c r="Z46" i="5" s="1"/>
  <c r="X72" i="5"/>
  <c r="W72" i="5"/>
  <c r="V72" i="5"/>
  <c r="U72" i="5"/>
  <c r="S72" i="5"/>
  <c r="R72" i="5"/>
  <c r="Q72" i="5"/>
  <c r="K72" i="5"/>
  <c r="K162" i="5" s="1"/>
  <c r="H46" i="5"/>
  <c r="O44" i="5"/>
  <c r="AA44" i="5" s="1"/>
  <c r="O43" i="5"/>
  <c r="Y41" i="5"/>
  <c r="X41" i="5"/>
  <c r="W41" i="5"/>
  <c r="V41" i="5"/>
  <c r="U41" i="5"/>
  <c r="S41" i="5"/>
  <c r="H41" i="5"/>
  <c r="B41" i="5"/>
  <c r="E41" i="5" s="1"/>
  <c r="X36" i="5"/>
  <c r="W36" i="5"/>
  <c r="V36" i="5"/>
  <c r="U36" i="5"/>
  <c r="R36" i="5"/>
  <c r="Y34" i="5"/>
  <c r="X34" i="5"/>
  <c r="W34" i="5"/>
  <c r="V34" i="5"/>
  <c r="U34" i="5"/>
  <c r="S34" i="5"/>
  <c r="R34" i="5"/>
  <c r="Q34" i="5"/>
  <c r="Y31" i="5"/>
  <c r="X31" i="5"/>
  <c r="W31" i="5"/>
  <c r="V31" i="5"/>
  <c r="U31" i="5"/>
  <c r="S31" i="5"/>
  <c r="R31" i="5"/>
  <c r="Q31" i="5"/>
  <c r="S30" i="5"/>
  <c r="S29" i="5" s="1"/>
  <c r="R30" i="5"/>
  <c r="R29" i="5" s="1"/>
  <c r="Q30" i="5"/>
  <c r="O30" i="5"/>
  <c r="Y29" i="5"/>
  <c r="X29" i="5"/>
  <c r="W29" i="5"/>
  <c r="V29" i="5"/>
  <c r="U29" i="5"/>
  <c r="H29" i="5"/>
  <c r="Y28" i="5"/>
  <c r="X28" i="5"/>
  <c r="W28" i="5"/>
  <c r="V28" i="5"/>
  <c r="U28" i="5"/>
  <c r="M28" i="5"/>
  <c r="L28" i="5"/>
  <c r="K28" i="5"/>
  <c r="J28" i="5"/>
  <c r="I28" i="5"/>
  <c r="H28" i="5"/>
  <c r="G28" i="5"/>
  <c r="F28" i="5"/>
  <c r="E28" i="5"/>
  <c r="C26" i="3" s="1"/>
  <c r="E26" i="3" s="1"/>
  <c r="AA27" i="5"/>
  <c r="AA28" i="5" s="1"/>
  <c r="S27" i="5"/>
  <c r="S28" i="5" s="1"/>
  <c r="R27" i="5"/>
  <c r="R28" i="5" s="1"/>
  <c r="Q27" i="5"/>
  <c r="N27" i="5"/>
  <c r="B20" i="5"/>
  <c r="B16" i="5"/>
  <c r="B12" i="5"/>
  <c r="W203" i="5" l="1"/>
  <c r="W209" i="5" s="1"/>
  <c r="Z194" i="5"/>
  <c r="X203" i="5"/>
  <c r="X209" i="5" s="1"/>
  <c r="E118" i="5"/>
  <c r="Z175" i="5"/>
  <c r="Z180" i="5" s="1"/>
  <c r="V203" i="5"/>
  <c r="V209" i="5" s="1"/>
  <c r="P164" i="5"/>
  <c r="U203" i="5"/>
  <c r="U209" i="5" s="1"/>
  <c r="Y203" i="5"/>
  <c r="Y209" i="5" s="1"/>
  <c r="R41" i="5"/>
  <c r="P108" i="5"/>
  <c r="F48" i="3"/>
  <c r="F49" i="3" s="1"/>
  <c r="G29" i="3"/>
  <c r="N180" i="5"/>
  <c r="I43" i="3"/>
  <c r="G43" i="3"/>
  <c r="N128" i="5"/>
  <c r="O27" i="5"/>
  <c r="F26" i="3" s="1"/>
  <c r="P125" i="5"/>
  <c r="O41" i="5"/>
  <c r="K128" i="5"/>
  <c r="K129" i="5" s="1"/>
  <c r="Z123" i="5"/>
  <c r="Q125" i="5"/>
  <c r="R128" i="5"/>
  <c r="Z126" i="5"/>
  <c r="Z128" i="5" s="1"/>
  <c r="H30" i="3" s="1"/>
  <c r="S136" i="5"/>
  <c r="S162" i="5" s="1"/>
  <c r="R132" i="5"/>
  <c r="Z131" i="5"/>
  <c r="Z132" i="5" s="1"/>
  <c r="AA194" i="5"/>
  <c r="Z201" i="5"/>
  <c r="AA201" i="5" s="1"/>
  <c r="AA31" i="5"/>
  <c r="O31" i="5"/>
  <c r="AA73" i="5"/>
  <c r="AA72" i="5" s="1"/>
  <c r="O72" i="5"/>
  <c r="P72" i="5" s="1"/>
  <c r="O29" i="5"/>
  <c r="H28" i="3"/>
  <c r="Q136" i="5"/>
  <c r="Q162" i="5" s="1"/>
  <c r="Z137" i="5"/>
  <c r="Z136" i="5" s="1"/>
  <c r="Z72" i="5"/>
  <c r="O75" i="5"/>
  <c r="P75" i="5" s="1"/>
  <c r="AA76" i="5"/>
  <c r="AA75" i="5" s="1"/>
  <c r="U180" i="5"/>
  <c r="U183" i="5" s="1"/>
  <c r="U208" i="5" s="1"/>
  <c r="O34" i="5"/>
  <c r="P34" i="5" s="1"/>
  <c r="AA35" i="5"/>
  <c r="AA34" i="5" s="1"/>
  <c r="M128" i="5"/>
  <c r="R133" i="5"/>
  <c r="R162" i="5" s="1"/>
  <c r="Z134" i="5"/>
  <c r="Z133" i="5" s="1"/>
  <c r="O136" i="5"/>
  <c r="P136" i="5" s="1"/>
  <c r="Z138" i="5"/>
  <c r="AA138" i="5" s="1"/>
  <c r="Z199" i="5"/>
  <c r="O36" i="5"/>
  <c r="AA37" i="5"/>
  <c r="AA36" i="5" s="1"/>
  <c r="AA80" i="5"/>
  <c r="AA86" i="5"/>
  <c r="Q41" i="5"/>
  <c r="O46" i="5"/>
  <c r="AA59" i="5"/>
  <c r="AA46" i="5" s="1"/>
  <c r="O77" i="5"/>
  <c r="P77" i="5" s="1"/>
  <c r="Z43" i="5"/>
  <c r="AA43" i="5" s="1"/>
  <c r="Z31" i="5"/>
  <c r="Z34" i="5"/>
  <c r="Z86" i="5"/>
  <c r="C27" i="3"/>
  <c r="E27" i="3" s="1"/>
  <c r="Q204" i="5"/>
  <c r="R204" i="5"/>
  <c r="N203" i="5"/>
  <c r="N204" i="5" s="1"/>
  <c r="S204" i="5"/>
  <c r="O159" i="5"/>
  <c r="O162" i="5" s="1"/>
  <c r="F34" i="3" s="1"/>
  <c r="Z42" i="5"/>
  <c r="AA42" i="5" s="1"/>
  <c r="Q28" i="5"/>
  <c r="Z27" i="5"/>
  <c r="Z28" i="5" s="1"/>
  <c r="H26" i="3" s="1"/>
  <c r="Q29" i="5"/>
  <c r="Z30" i="5"/>
  <c r="AA30" i="5" s="1"/>
  <c r="AA29" i="5" s="1"/>
  <c r="Z75" i="5"/>
  <c r="N168" i="5"/>
  <c r="P168" i="5" s="1"/>
  <c r="I174" i="5"/>
  <c r="D36" i="3" s="1"/>
  <c r="E36" i="3" s="1"/>
  <c r="G36" i="3" s="1"/>
  <c r="I162" i="5"/>
  <c r="D34" i="3" s="1"/>
  <c r="W162" i="5"/>
  <c r="W163" i="5" s="1"/>
  <c r="Y162" i="5"/>
  <c r="Y163" i="5" s="1"/>
  <c r="V162" i="5"/>
  <c r="V163" i="5" s="1"/>
  <c r="X162" i="5"/>
  <c r="X163" i="5" s="1"/>
  <c r="G207" i="5"/>
  <c r="O127" i="5"/>
  <c r="Y125" i="5"/>
  <c r="P194" i="5"/>
  <c r="Q209" i="5"/>
  <c r="AA169" i="5"/>
  <c r="AA174" i="5" s="1"/>
  <c r="P192" i="5"/>
  <c r="H96" i="5"/>
  <c r="H97" i="5" s="1"/>
  <c r="N122" i="5"/>
  <c r="H162" i="5"/>
  <c r="C34" i="3" s="1"/>
  <c r="O98" i="5"/>
  <c r="F129" i="5"/>
  <c r="F205" i="5" s="1"/>
  <c r="F207" i="5" s="1"/>
  <c r="N29" i="5"/>
  <c r="P46" i="5"/>
  <c r="V96" i="5"/>
  <c r="V97" i="5" s="1"/>
  <c r="X96" i="5"/>
  <c r="X97" i="5" s="1"/>
  <c r="N41" i="5"/>
  <c r="U96" i="5"/>
  <c r="U97" i="5" s="1"/>
  <c r="W96" i="5"/>
  <c r="W97" i="5" s="1"/>
  <c r="Y96" i="5"/>
  <c r="Y97" i="5" s="1"/>
  <c r="N133" i="5"/>
  <c r="P133" i="5" s="1"/>
  <c r="N157" i="5"/>
  <c r="P157" i="5" s="1"/>
  <c r="O86" i="5"/>
  <c r="O80" i="5"/>
  <c r="P199" i="5"/>
  <c r="S36" i="5"/>
  <c r="S96" i="5" s="1"/>
  <c r="B21" i="5"/>
  <c r="P31" i="5"/>
  <c r="Q36" i="5"/>
  <c r="P115" i="5"/>
  <c r="P119" i="5"/>
  <c r="P123" i="5"/>
  <c r="P169" i="5"/>
  <c r="P190" i="5"/>
  <c r="L204" i="5"/>
  <c r="L205" i="5" s="1"/>
  <c r="L209" i="5" s="1"/>
  <c r="R209" i="5"/>
  <c r="N28" i="5"/>
  <c r="X129" i="5"/>
  <c r="X207" i="5" s="1"/>
  <c r="K96" i="5"/>
  <c r="N101" i="5"/>
  <c r="P101" i="5" s="1"/>
  <c r="N131" i="5"/>
  <c r="H132" i="5"/>
  <c r="C35" i="3" s="1"/>
  <c r="E35" i="3" s="1"/>
  <c r="F97" i="5"/>
  <c r="K97" i="5"/>
  <c r="K205" i="5"/>
  <c r="K209" i="5" s="1"/>
  <c r="AA119" i="5"/>
  <c r="O120" i="5"/>
  <c r="O131" i="5"/>
  <c r="AA131" i="5" s="1"/>
  <c r="N182" i="5"/>
  <c r="N159" i="5"/>
  <c r="P175" i="5"/>
  <c r="P180" i="5" s="1"/>
  <c r="U129" i="5" l="1"/>
  <c r="U207" i="5" s="1"/>
  <c r="AA175" i="5"/>
  <c r="AA180" i="5" s="1"/>
  <c r="W183" i="5"/>
  <c r="W208" i="5" s="1"/>
  <c r="P29" i="5"/>
  <c r="Z203" i="5"/>
  <c r="Z204" i="5" s="1"/>
  <c r="AA41" i="5"/>
  <c r="N174" i="5"/>
  <c r="P174" i="5" s="1"/>
  <c r="P159" i="5"/>
  <c r="O28" i="5"/>
  <c r="V183" i="5"/>
  <c r="V208" i="5" s="1"/>
  <c r="X183" i="5"/>
  <c r="X208" i="5" s="1"/>
  <c r="H48" i="3"/>
  <c r="H49" i="3" s="1"/>
  <c r="P98" i="5"/>
  <c r="O118" i="5"/>
  <c r="F27" i="3" s="1"/>
  <c r="I27" i="3" s="1"/>
  <c r="N118" i="5"/>
  <c r="Y183" i="5"/>
  <c r="Y208" i="5" s="1"/>
  <c r="U205" i="5"/>
  <c r="X210" i="5"/>
  <c r="X205" i="5"/>
  <c r="U210" i="5"/>
  <c r="P203" i="5"/>
  <c r="P204" i="5" s="1"/>
  <c r="E34" i="3"/>
  <c r="C40" i="3"/>
  <c r="G48" i="3"/>
  <c r="G49" i="3" s="1"/>
  <c r="AA125" i="5"/>
  <c r="AA123" i="5"/>
  <c r="D40" i="3"/>
  <c r="D50" i="3" s="1"/>
  <c r="H35" i="3"/>
  <c r="I26" i="3"/>
  <c r="G26" i="3"/>
  <c r="Z162" i="5"/>
  <c r="Z183" i="5" s="1"/>
  <c r="Y129" i="5"/>
  <c r="P162" i="5"/>
  <c r="Z125" i="5"/>
  <c r="H29" i="3" s="1"/>
  <c r="I29" i="3" s="1"/>
  <c r="R183" i="5"/>
  <c r="R163" i="5"/>
  <c r="H183" i="5"/>
  <c r="H205" i="5" s="1"/>
  <c r="H208" i="5" s="1"/>
  <c r="Z29" i="5"/>
  <c r="Q96" i="5"/>
  <c r="AA134" i="5"/>
  <c r="AA133" i="5" s="1"/>
  <c r="Q163" i="5"/>
  <c r="Q183" i="5"/>
  <c r="V129" i="5"/>
  <c r="S183" i="5"/>
  <c r="S208" i="5" s="1"/>
  <c r="S163" i="5"/>
  <c r="AA98" i="5"/>
  <c r="AA118" i="5" s="1"/>
  <c r="I183" i="5"/>
  <c r="I205" i="5" s="1"/>
  <c r="I208" i="5" s="1"/>
  <c r="Q97" i="5"/>
  <c r="Q129" i="5" s="1"/>
  <c r="AA137" i="5"/>
  <c r="AA136" i="5" s="1"/>
  <c r="O96" i="5"/>
  <c r="AA199" i="5"/>
  <c r="W129" i="5"/>
  <c r="Z36" i="5"/>
  <c r="N162" i="5"/>
  <c r="S209" i="5"/>
  <c r="O204" i="5"/>
  <c r="P80" i="5"/>
  <c r="R96" i="5"/>
  <c r="R97" i="5" s="1"/>
  <c r="Z41" i="5"/>
  <c r="P86" i="5"/>
  <c r="P27" i="5"/>
  <c r="P28" i="5" s="1"/>
  <c r="AA127" i="5"/>
  <c r="P127" i="5"/>
  <c r="H163" i="5"/>
  <c r="N209" i="5"/>
  <c r="AA120" i="5"/>
  <c r="AA122" i="5" s="1"/>
  <c r="P36" i="5"/>
  <c r="S97" i="5"/>
  <c r="S129" i="5" s="1"/>
  <c r="E96" i="5"/>
  <c r="C25" i="3" s="1"/>
  <c r="N96" i="5"/>
  <c r="N97" i="5" s="1"/>
  <c r="P41" i="5"/>
  <c r="O132" i="5"/>
  <c r="O122" i="5"/>
  <c r="F28" i="3" s="1"/>
  <c r="G28" i="3" s="1"/>
  <c r="O126" i="5"/>
  <c r="N132" i="5"/>
  <c r="P131" i="5"/>
  <c r="P120" i="5"/>
  <c r="P118" i="5" l="1"/>
  <c r="I48" i="3"/>
  <c r="I49" i="3" s="1"/>
  <c r="O209" i="5"/>
  <c r="AA204" i="5"/>
  <c r="AA203" i="5" s="1"/>
  <c r="Y207" i="5"/>
  <c r="Y210" i="5" s="1"/>
  <c r="Y205" i="5"/>
  <c r="W207" i="5"/>
  <c r="W210" i="5" s="1"/>
  <c r="W205" i="5"/>
  <c r="V207" i="5"/>
  <c r="V210" i="5" s="1"/>
  <c r="V205" i="5"/>
  <c r="H34" i="3"/>
  <c r="I34" i="3" s="1"/>
  <c r="Z163" i="5"/>
  <c r="E25" i="3"/>
  <c r="C31" i="3"/>
  <c r="C50" i="3" s="1"/>
  <c r="AA162" i="5"/>
  <c r="I28" i="3"/>
  <c r="O97" i="5"/>
  <c r="F25" i="3"/>
  <c r="G34" i="3"/>
  <c r="E40" i="3"/>
  <c r="G27" i="3"/>
  <c r="AA132" i="5"/>
  <c r="O163" i="5"/>
  <c r="F35" i="3"/>
  <c r="N208" i="5"/>
  <c r="Z208" i="5"/>
  <c r="H37" i="3"/>
  <c r="I37" i="3" s="1"/>
  <c r="R129" i="5"/>
  <c r="R207" i="5" s="1"/>
  <c r="R208" i="5"/>
  <c r="P96" i="5"/>
  <c r="P97" i="5" s="1"/>
  <c r="P122" i="5"/>
  <c r="N183" i="5"/>
  <c r="P209" i="5"/>
  <c r="N129" i="5"/>
  <c r="S207" i="5"/>
  <c r="S210" i="5" s="1"/>
  <c r="S205" i="5"/>
  <c r="E97" i="5"/>
  <c r="E129" i="5"/>
  <c r="E205" i="5" s="1"/>
  <c r="E207" i="5" s="1"/>
  <c r="Q207" i="5"/>
  <c r="P132" i="5"/>
  <c r="N163" i="5"/>
  <c r="AA126" i="5"/>
  <c r="AA128" i="5" s="1"/>
  <c r="O128" i="5"/>
  <c r="F30" i="3" s="1"/>
  <c r="P126" i="5"/>
  <c r="P128" i="5" s="1"/>
  <c r="F31" i="3" l="1"/>
  <c r="I30" i="3"/>
  <c r="G30" i="3"/>
  <c r="G25" i="3"/>
  <c r="E31" i="3"/>
  <c r="E50" i="3" s="1"/>
  <c r="AA163" i="5"/>
  <c r="I35" i="3"/>
  <c r="G35" i="3"/>
  <c r="H40" i="3"/>
  <c r="N205" i="5"/>
  <c r="R205" i="5"/>
  <c r="R210" i="5"/>
  <c r="P129" i="5"/>
  <c r="P207" i="5" s="1"/>
  <c r="N207" i="5"/>
  <c r="N210" i="5" s="1"/>
  <c r="N211" i="5" s="1"/>
  <c r="Z209" i="5"/>
  <c r="O129" i="5"/>
  <c r="P163" i="5"/>
  <c r="AA209" i="5"/>
  <c r="G31" i="3" l="1"/>
  <c r="S211" i="5"/>
  <c r="R211" i="5"/>
  <c r="O207" i="5"/>
  <c r="K54" i="4" l="1"/>
  <c r="I49" i="4"/>
  <c r="I47" i="4"/>
  <c r="E46" i="4"/>
  <c r="G46" i="4" s="1"/>
  <c r="D41" i="4"/>
  <c r="D37" i="4"/>
  <c r="D32" i="4"/>
  <c r="C32" i="4"/>
  <c r="D31" i="4"/>
  <c r="D30" i="4"/>
  <c r="D28" i="4"/>
  <c r="D27" i="4"/>
  <c r="C18" i="4"/>
  <c r="C17" i="4"/>
  <c r="C16" i="4"/>
  <c r="C14" i="4"/>
  <c r="C13" i="4"/>
  <c r="C12" i="4"/>
  <c r="C10" i="4"/>
  <c r="C9" i="4"/>
  <c r="C8" i="4"/>
  <c r="C7" i="4"/>
  <c r="C6" i="4"/>
  <c r="C19" i="4" l="1"/>
  <c r="C11" i="4"/>
  <c r="E32" i="4"/>
  <c r="C15" i="4"/>
  <c r="C50" i="4" l="1"/>
  <c r="C20" i="4"/>
  <c r="F50" i="4"/>
  <c r="D36" i="4" l="1"/>
  <c r="H48" i="4"/>
  <c r="F28" i="4" l="1"/>
  <c r="H28" i="4" l="1"/>
  <c r="I28" i="4" s="1"/>
  <c r="C48" i="4"/>
  <c r="C30" i="4"/>
  <c r="E30" i="4" s="1"/>
  <c r="C40" i="4" l="1"/>
  <c r="D39" i="4"/>
  <c r="C38" i="4"/>
  <c r="C39" i="4"/>
  <c r="D38" i="4"/>
  <c r="E39" i="4" l="1"/>
  <c r="E38" i="4"/>
  <c r="D29" i="4" l="1"/>
  <c r="D33" i="4" s="1"/>
  <c r="C29" i="4" l="1"/>
  <c r="E29" i="4" s="1"/>
  <c r="D47" i="4"/>
  <c r="F30" i="4"/>
  <c r="E47" i="4" l="1"/>
  <c r="G47" i="4" s="1"/>
  <c r="G30" i="4"/>
  <c r="C27" i="4"/>
  <c r="E27" i="4" l="1"/>
  <c r="C36" i="4" l="1"/>
  <c r="E36" i="4" l="1"/>
  <c r="F29" i="4" l="1"/>
  <c r="G29" i="4" s="1"/>
  <c r="F40" i="4" l="1"/>
  <c r="F48" i="4" l="1"/>
  <c r="I48" i="4" l="1"/>
  <c r="F51" i="4"/>
  <c r="D48" i="4" l="1"/>
  <c r="D50" i="4" l="1"/>
  <c r="E50" i="4" s="1"/>
  <c r="G50" i="4" s="1"/>
  <c r="E48" i="4"/>
  <c r="G48" i="4" s="1"/>
  <c r="C41" i="4"/>
  <c r="E41" i="4" s="1"/>
  <c r="D49" i="4" l="1"/>
  <c r="C31" i="4"/>
  <c r="E31" i="4" s="1"/>
  <c r="C28" i="4" l="1"/>
  <c r="F31" i="4"/>
  <c r="C45" i="4"/>
  <c r="E49" i="4"/>
  <c r="G49" i="4" s="1"/>
  <c r="D51" i="4"/>
  <c r="H29" i="4"/>
  <c r="I29" i="4" s="1"/>
  <c r="H31" i="4" l="1"/>
  <c r="I31" i="4" s="1"/>
  <c r="E45" i="4"/>
  <c r="C51" i="4"/>
  <c r="E28" i="4"/>
  <c r="C33" i="4"/>
  <c r="K33" i="4" s="1"/>
  <c r="G31" i="4"/>
  <c r="F27" i="4" l="1"/>
  <c r="G27" i="4" s="1"/>
  <c r="G45" i="4"/>
  <c r="G51" i="4" s="1"/>
  <c r="E51" i="4"/>
  <c r="G28" i="4"/>
  <c r="E33" i="4"/>
  <c r="F36" i="4"/>
  <c r="G36" i="4" s="1"/>
  <c r="H46" i="4" l="1"/>
  <c r="I46" i="4" s="1"/>
  <c r="C11" i="3"/>
  <c r="C20" i="3" s="1"/>
  <c r="H45" i="4" l="1"/>
  <c r="I45" i="4" s="1"/>
  <c r="H41" i="4"/>
  <c r="H27" i="4"/>
  <c r="H37" i="4"/>
  <c r="F37" i="4"/>
  <c r="H39" i="4" l="1"/>
  <c r="F39" i="4"/>
  <c r="F38" i="4"/>
  <c r="G38" i="4" s="1"/>
  <c r="H38" i="4"/>
  <c r="F41" i="4"/>
  <c r="I27" i="4"/>
  <c r="I37" i="4"/>
  <c r="F42" i="4" l="1"/>
  <c r="I39" i="4"/>
  <c r="G39" i="4"/>
  <c r="H40" i="4"/>
  <c r="I40" i="4" s="1"/>
  <c r="H36" i="4"/>
  <c r="I38" i="4"/>
  <c r="I41" i="4"/>
  <c r="G41" i="4"/>
  <c r="D40" i="4" l="1"/>
  <c r="I36" i="4"/>
  <c r="I42" i="4" s="1"/>
  <c r="H42" i="4"/>
  <c r="C37" i="4" l="1"/>
  <c r="C42" i="4" s="1"/>
  <c r="C52" i="4" s="1"/>
  <c r="E37" i="4"/>
  <c r="E40" i="4"/>
  <c r="G40" i="4" s="1"/>
  <c r="D42" i="4"/>
  <c r="D52" i="4" s="1"/>
  <c r="E42" i="4" l="1"/>
  <c r="E52" i="4" s="1"/>
  <c r="G37" i="4"/>
  <c r="G42" i="4" s="1"/>
  <c r="H50" i="4" l="1"/>
  <c r="H51" i="4" l="1"/>
  <c r="I50" i="4"/>
  <c r="I51" i="4" s="1"/>
  <c r="H30" i="4" l="1"/>
  <c r="I30" i="4" s="1"/>
  <c r="H32" i="4"/>
  <c r="H33" i="4" l="1"/>
  <c r="H52" i="4" s="1"/>
  <c r="H53" i="4" s="1"/>
  <c r="F32" i="4" l="1"/>
  <c r="F33" i="4" s="1"/>
  <c r="F52" i="4" s="1"/>
  <c r="F53" i="4" s="1"/>
  <c r="G32" i="4"/>
  <c r="G33" i="4" s="1"/>
  <c r="G52" i="4" s="1"/>
  <c r="G53" i="4" s="1"/>
  <c r="I32" i="4"/>
  <c r="I33" i="4" s="1"/>
  <c r="I52" i="4" s="1"/>
  <c r="I53" i="4" s="1"/>
  <c r="O181" i="5" l="1"/>
  <c r="O182" i="5" l="1"/>
  <c r="P181" i="5"/>
  <c r="P182" i="5" s="1"/>
  <c r="P183" i="5" s="1"/>
  <c r="AA181" i="5"/>
  <c r="AA182" i="5" s="1"/>
  <c r="AA183" i="5" s="1"/>
  <c r="F39" i="3" l="1"/>
  <c r="O183" i="5"/>
  <c r="O208" i="5" s="1"/>
  <c r="O210" i="5" s="1"/>
  <c r="O211" i="5" s="1"/>
  <c r="P205" i="5"/>
  <c r="P208" i="5"/>
  <c r="P210" i="5" s="1"/>
  <c r="P211" i="5" s="1"/>
  <c r="O205" i="5" l="1"/>
  <c r="I39" i="3"/>
  <c r="I40" i="3" s="1"/>
  <c r="G39" i="3"/>
  <c r="G40" i="3" s="1"/>
  <c r="G50" i="3" s="1"/>
  <c r="G51" i="3" s="1"/>
  <c r="F40" i="3"/>
  <c r="F50" i="3" s="1"/>
  <c r="Q205" i="5"/>
  <c r="Q208" i="5"/>
  <c r="Q210" i="5" s="1"/>
  <c r="Q211" i="5" s="1"/>
  <c r="K52" i="3" l="1"/>
  <c r="F51" i="3"/>
  <c r="AA208" i="5" l="1"/>
  <c r="Z80" i="5"/>
  <c r="Z96" i="5" s="1"/>
  <c r="Z97" i="5" s="1"/>
  <c r="AA97" i="5" l="1"/>
  <c r="AA129" i="5" s="1"/>
  <c r="H25" i="3"/>
  <c r="Z129" i="5"/>
  <c r="AA96" i="5"/>
  <c r="T97" i="5"/>
  <c r="AA207" i="5" l="1"/>
  <c r="AA210" i="5" s="1"/>
  <c r="AA211" i="5" s="1"/>
  <c r="AA205" i="5"/>
  <c r="H31" i="3"/>
  <c r="H50" i="3" s="1"/>
  <c r="H51" i="3" s="1"/>
  <c r="I25" i="3"/>
  <c r="Z205" i="5"/>
  <c r="Z207" i="5"/>
  <c r="Z210" i="5" s="1"/>
  <c r="Z211" i="5" s="1"/>
  <c r="I31" i="3" l="1"/>
  <c r="I50" i="3" s="1"/>
  <c r="I51" i="3" s="1"/>
</calcChain>
</file>

<file path=xl/sharedStrings.xml><?xml version="1.0" encoding="utf-8"?>
<sst xmlns="http://schemas.openxmlformats.org/spreadsheetml/2006/main" count="395" uniqueCount="216">
  <si>
    <t>CANTIDAD</t>
  </si>
  <si>
    <t>PLAZO DE EJECUCION (MESES) O JORNADAS</t>
  </si>
  <si>
    <t>VALOR TOTAL DEL CONVENIO</t>
  </si>
  <si>
    <t>HONORARIOS MES</t>
  </si>
  <si>
    <t>DESCRIPCIÓN</t>
  </si>
  <si>
    <t>TOTAL EJECUCIÓN</t>
  </si>
  <si>
    <t>TOTAL PRESUPUESTO</t>
  </si>
  <si>
    <t>Aprobó:</t>
  </si>
  <si>
    <t>TOTAL COMPROMETIDO</t>
  </si>
  <si>
    <t>SALDO POR COMPROMETER</t>
  </si>
  <si>
    <t xml:space="preserve">Fecha de Inicio:  </t>
  </si>
  <si>
    <t xml:space="preserve">Fecha de Terminación: </t>
  </si>
  <si>
    <t>COMPROMETIDO</t>
  </si>
  <si>
    <t>% Ejecución</t>
  </si>
  <si>
    <t>Contratista</t>
  </si>
  <si>
    <t>Gastos Operativos</t>
  </si>
  <si>
    <t>Revisó:</t>
  </si>
  <si>
    <t>Elaboró:</t>
  </si>
  <si>
    <t>Silvana Cano Arenas</t>
  </si>
  <si>
    <t>Profesional Universitario Código 219 Grado 10</t>
  </si>
  <si>
    <t>Profesional Social</t>
  </si>
  <si>
    <t>Subtotal Transporte</t>
  </si>
  <si>
    <t>%</t>
  </si>
  <si>
    <t>Prendas Distintivas y Elementos de Protección Personal</t>
  </si>
  <si>
    <t>Subtotal Prendas Distintivas y Elementos de Protección Personal</t>
  </si>
  <si>
    <t>Subtotal Gastos Operativos</t>
  </si>
  <si>
    <t>ADICIÓN IDIPRON</t>
  </si>
  <si>
    <t>Transporte</t>
  </si>
  <si>
    <t>Jóvenes Beneficiarios</t>
  </si>
  <si>
    <t xml:space="preserve"> </t>
  </si>
  <si>
    <t>Técnico Operativo</t>
  </si>
  <si>
    <t>Personal Administrativo</t>
  </si>
  <si>
    <t>ADICIÓN SDA</t>
  </si>
  <si>
    <t>ADICIÓN FDLSC</t>
  </si>
  <si>
    <t>Profesional Apoyo Administrativo</t>
  </si>
  <si>
    <t>Subtotal Jovenes</t>
  </si>
  <si>
    <t>Subtotal Herramientas, Insumos y Equipos menores</t>
  </si>
  <si>
    <t>APORTE SDA</t>
  </si>
  <si>
    <t>APORTE FDLSC</t>
  </si>
  <si>
    <t>APORTE IDIPRON</t>
  </si>
  <si>
    <t>DINERO</t>
  </si>
  <si>
    <t>ESPECIE</t>
  </si>
  <si>
    <t xml:space="preserve">DINERO </t>
  </si>
  <si>
    <t>Transporte mayor (Volqueta)</t>
  </si>
  <si>
    <t>Transporte menor (Jóvenes)</t>
  </si>
  <si>
    <t>Transporte (Camión-Camioneta)</t>
  </si>
  <si>
    <t>GL</t>
  </si>
  <si>
    <t>Sede San Cristobal 60%</t>
  </si>
  <si>
    <t>Gastos Administrativos</t>
  </si>
  <si>
    <t>Gasto Financiero GMF 4*1000</t>
  </si>
  <si>
    <t>UN</t>
  </si>
  <si>
    <t>Subtotal Aportes SDA</t>
  </si>
  <si>
    <t>Subtotal Aportes FDLSC</t>
  </si>
  <si>
    <t>Subtotal Aportes IDIPRON</t>
  </si>
  <si>
    <t>Adición aportes SDA</t>
  </si>
  <si>
    <t>Valor Total aportes SDA</t>
  </si>
  <si>
    <t>Adición aportes FDLSC</t>
  </si>
  <si>
    <t>Valor Total aportes FDLSC</t>
  </si>
  <si>
    <t>Adición aportes IDIPRON</t>
  </si>
  <si>
    <t>Valor Total aportes IDIPRON</t>
  </si>
  <si>
    <t>VALOR TOTAL CONVENIO</t>
  </si>
  <si>
    <t>Profesional Coordinador</t>
  </si>
  <si>
    <t>Jovenes</t>
  </si>
  <si>
    <t>Herramientas, Insumos y Equipos menores</t>
  </si>
  <si>
    <t>SDA</t>
  </si>
  <si>
    <t>Valor Inicial Aportes SDA (Efectivo)</t>
  </si>
  <si>
    <t>Valor Inicial Aportes SDA (Especie)</t>
  </si>
  <si>
    <t>Cuentas de Cobro</t>
  </si>
  <si>
    <t>Valor Inicial Aportes FDLSC (Efectivo)</t>
  </si>
  <si>
    <t>Valor Inicial Aportes FDLSC (Especie)</t>
  </si>
  <si>
    <t>Valor Inicial Aportes IDIPRON (Efectivo)</t>
  </si>
  <si>
    <t>Valor Inicial Aportes IDIPRON (Especie)</t>
  </si>
  <si>
    <t>1er Desembolso 40%</t>
  </si>
  <si>
    <t>FDLSC</t>
  </si>
  <si>
    <t>2do Desembolso 30%</t>
  </si>
  <si>
    <t>3er Desembolso 20%</t>
  </si>
  <si>
    <t>4to Desembolso 10%</t>
  </si>
  <si>
    <t>Cuenta de Cobro</t>
  </si>
  <si>
    <t>Valor</t>
  </si>
  <si>
    <t>Mano de obra produccion de material vegetal</t>
  </si>
  <si>
    <t>Herramientas</t>
  </si>
  <si>
    <t>Insumos</t>
  </si>
  <si>
    <t xml:space="preserve">Adecuaciones locativas </t>
  </si>
  <si>
    <t>Identificacion de predios (mentenimiento y restauración)</t>
  </si>
  <si>
    <t>diagnostico y diseño de arreglos floristicos</t>
  </si>
  <si>
    <t>Material vegetal Restauración</t>
  </si>
  <si>
    <t>Material vegetal mantenimiento</t>
  </si>
  <si>
    <t>Insumos restauración</t>
  </si>
  <si>
    <t>Maquinaria Bioextrusora,</t>
  </si>
  <si>
    <t xml:space="preserve">Enlonado material final </t>
  </si>
  <si>
    <t>Enlonado material para chipeado</t>
  </si>
  <si>
    <t>Informe de Ejecución:</t>
  </si>
  <si>
    <t>Fecha de Desembolso</t>
  </si>
  <si>
    <t>Juan Carlos Romero Morales</t>
  </si>
  <si>
    <t>Aportes Secretaría Distrital de Ambiente -SDA</t>
  </si>
  <si>
    <t>Subtotal Personal SDA</t>
  </si>
  <si>
    <t>Subtotal Jóvenes Beneficiarios SDA</t>
  </si>
  <si>
    <t>Subtotal Jóvenes y Personal SDA</t>
  </si>
  <si>
    <t xml:space="preserve">Romero  Morales Juan Carlos </t>
  </si>
  <si>
    <t>Aportes Fondo de Desarrollo Local San Cristóbal - FDL SC</t>
  </si>
  <si>
    <t>Subtotal Personal Fondo de Desarrollo Local San Cristóbal - FDL SC</t>
  </si>
  <si>
    <t>Valor Aportes Fondo de Desarrollo Local San Cristóbal - FDL SC</t>
  </si>
  <si>
    <t>Valor Aportes Secretaría Distrital de Ambiente -SDA</t>
  </si>
  <si>
    <t xml:space="preserve">Valor Aportes Instituto Distrital para la Proteción de la Niñez y la Juventud - IDIPRON </t>
  </si>
  <si>
    <t>TOTAL EJECUTADO</t>
  </si>
  <si>
    <t>APORTES IDIPRON</t>
  </si>
  <si>
    <t>APORTES SDA</t>
  </si>
  <si>
    <t>TOTAL APORTES SDA</t>
  </si>
  <si>
    <t>APORTES FDL SAN CRISTÓBAL</t>
  </si>
  <si>
    <t>TOTAL  FDL SAN CRISTÓBAL</t>
  </si>
  <si>
    <t>Subtotal Jóvenes y Personal Fondo de Desarrollo Local San Cristóbal - FDL SC</t>
  </si>
  <si>
    <t>Gastos Bancarios (transacción estímulo corresponsabilidad)</t>
  </si>
  <si>
    <t>Coordinadora Convenios</t>
  </si>
  <si>
    <t>TOTAL   IDIPRON</t>
  </si>
  <si>
    <t>SALDO POR EJECUTAR RECURSOS COMPROMETIDOS</t>
  </si>
  <si>
    <t>CONVENIO 031/2018 
SUSCRITO ENTRE LA SECRETARIA DISTRITAL DE AMBIENTE - SDA, EL FONDO DE DESARROLLO LOCAL DE SAN CRISTOBAL - FDLSC Y EL IDIPRON</t>
  </si>
  <si>
    <t>EJECUCIÓN CORTE A 30/NOV/2018</t>
  </si>
  <si>
    <t>EJECUCIÓN CORTE A 31/DIC/2018</t>
  </si>
  <si>
    <t>EJECUCIÓN CORTE A 31/ENE/2019</t>
  </si>
  <si>
    <t>EJECUCIÓN CORTE A 28/FEB/2019</t>
  </si>
  <si>
    <t>EJECUCIÓN CORTE A 31/MAR/2019</t>
  </si>
  <si>
    <t>EJECUCIÓN CORTE A 30/ABR/2019</t>
  </si>
  <si>
    <t>EJECUCIÓN CORTE A 31/MAY/2019</t>
  </si>
  <si>
    <t>EJECUCIÓN CORTE A 30/JUN/2019</t>
  </si>
  <si>
    <t>Profesional Financiero</t>
  </si>
  <si>
    <t>Profesional de campo</t>
  </si>
  <si>
    <t>Operario de maquinaria</t>
  </si>
  <si>
    <t>Auxiliar de maquinaria</t>
  </si>
  <si>
    <t>Equipos</t>
  </si>
  <si>
    <t>Ferreteria</t>
  </si>
  <si>
    <t>Combustible (gasolina) + Aceite  (2 tiempos) mantenimiento y restauración</t>
  </si>
  <si>
    <t>Mantenimiento preventivo Chipiadora y bioextrusora-Lubricantes, filtros, engrase.</t>
  </si>
  <si>
    <t>Mantenimiento curativo global equipos.</t>
  </si>
  <si>
    <t>Chipeadoras (2)</t>
  </si>
  <si>
    <t>Maquina Bioextrusora MSZ B 15</t>
  </si>
  <si>
    <t>UND</t>
  </si>
  <si>
    <t>Enlonado (globos y lonas)</t>
  </si>
  <si>
    <t>Enlonado Final Biomasa.</t>
  </si>
  <si>
    <t>Maquinaria pesada</t>
  </si>
  <si>
    <t>Proceso pedagógico IDIPRON
Capacitación, Educación y Recreación)</t>
  </si>
  <si>
    <t xml:space="preserve">Comunicaciones </t>
  </si>
  <si>
    <t>Profesional especializado  (aportes  FDL San cristobal)</t>
  </si>
  <si>
    <t>Ingeniero (Aporte FDL San Cristobal)</t>
  </si>
  <si>
    <t xml:space="preserve">
CONVENIO 031/2018 
                                                                   SUSCRITO ENTRE LA SECRETARIA DISTRITAL DE AMBIENTE - SDA, EL FONDO DE DESARROLLO LOCAL DE SAN CRISTOBAL - FDLSC Y EL IDIPRON</t>
  </si>
  <si>
    <t>Juan Pablo Ramirez G</t>
  </si>
  <si>
    <t>Apoyo a la Supervisión del Convenio 031/2018</t>
  </si>
  <si>
    <t>Apoyo Financiero al Convenio 031/2018</t>
  </si>
  <si>
    <t>RESUMEN EJECUCIÓN DE APORTES - CORTE NOVIEMBRE DE 2018</t>
  </si>
  <si>
    <t>1er Desembolso 15,5%</t>
  </si>
  <si>
    <t>2do Desembolso 54,5%</t>
  </si>
  <si>
    <t>3er Desembolso 30%</t>
  </si>
  <si>
    <t>1er Desembolso 50%</t>
  </si>
  <si>
    <t>2do Desembolso 20%</t>
  </si>
  <si>
    <t>Seguimiento Financiero Convenios</t>
  </si>
  <si>
    <t xml:space="preserve">GL </t>
  </si>
  <si>
    <t>Profesional social</t>
  </si>
  <si>
    <t>Prendas distintivas</t>
  </si>
  <si>
    <t>Operario Maquina</t>
  </si>
  <si>
    <t>Orientadores Operativos</t>
  </si>
  <si>
    <t>Orientador Operativo</t>
  </si>
  <si>
    <t>Subtotal Servicio de transporte y maquinaria</t>
  </si>
  <si>
    <t>Aportes IDIPRON</t>
  </si>
  <si>
    <t>Romero  Morales Juan Carlos CPS 1434/2018</t>
  </si>
  <si>
    <t>Martinez Aristizabal Mateo CPS 1432/2018</t>
  </si>
  <si>
    <t>Lina Salazar  CPS 0486/2019</t>
  </si>
  <si>
    <t>Jhan Carlos Salazar cto 0645/2019</t>
  </si>
  <si>
    <t>Francisco Garcia Garcia CPS 1443/2018</t>
  </si>
  <si>
    <t>Miguel Gonzalez CPS 1436/2018</t>
  </si>
  <si>
    <t>Jose Giovanni Obando CPS 0340/2019</t>
  </si>
  <si>
    <t>Doris Sandoval CPS 0330/2019</t>
  </si>
  <si>
    <t>Reina Cecilia Villamil CPS 0336/2019</t>
  </si>
  <si>
    <t>Jorge Enrique Correa CPS 0312/2019</t>
  </si>
  <si>
    <t>Luis Gustavo Pineda CPS 0357/2019</t>
  </si>
  <si>
    <t>Noel Alexander Echeverry CPS 0375/2019</t>
  </si>
  <si>
    <t>Jair Castaño Perez CPS 0379/2019</t>
  </si>
  <si>
    <t>Luciano Mendez CPS 0382/2019</t>
  </si>
  <si>
    <t>Sandra Milena Ruiz CPS 0425/2019</t>
  </si>
  <si>
    <t>Eduim Dario Pulido CPS 0349/2019</t>
  </si>
  <si>
    <t>Grelwylkgac Gomez CPS 0468/2019</t>
  </si>
  <si>
    <t>Leydis Alexandra Galeano CPS 0430/2019</t>
  </si>
  <si>
    <t>Luis Fernando Enciso CPS 0684/2019</t>
  </si>
  <si>
    <t>Edison Andrey Peña CPS 0469/2019</t>
  </si>
  <si>
    <t>Miguel Sierra CPS 0428/2019</t>
  </si>
  <si>
    <t>Luis Rodolfo Parra CPS 0538/2019</t>
  </si>
  <si>
    <t>Zulma Natalia Tibocha CPS 0638/2019</t>
  </si>
  <si>
    <t>Sandra Carolina Rojas CPS 0697/2019</t>
  </si>
  <si>
    <t>Camilo Andres Maya CPS 0376/2019</t>
  </si>
  <si>
    <t>Anguie Paola Lopez CPS 0436/2019</t>
  </si>
  <si>
    <t>Rubeth Morales CPS 0467/2019</t>
  </si>
  <si>
    <t>Luis Albeiro Ramirez CPS 0471/2019</t>
  </si>
  <si>
    <t>Yenny Milena Lozano CPS 0497/2019</t>
  </si>
  <si>
    <t>Garzon Crispin Wendy Lorena CPS 1460/2018 (TIEMPO 4,5 MESES)</t>
  </si>
  <si>
    <t>Francisco Garcia Garcia CPS 1443/2018 (TIEMPO 4,5 MESES)</t>
  </si>
  <si>
    <t>Miguel Gonzalez CPS 1436/2018 (TIEMPO 4,5 MESES)</t>
  </si>
  <si>
    <t>Carreño Sanchez Carolina CPS 1437/2018 (TIEMPO 4,5 MESES)</t>
  </si>
  <si>
    <t>Moreno Moreno Andres Noel CPS 1433/2018 (TIEMPO 4,5 MESES)</t>
  </si>
  <si>
    <t>Luis Armando Farfan CPS 0683/2019</t>
  </si>
  <si>
    <t>Eduar Orlando Contreras CPS 0694/2019</t>
  </si>
  <si>
    <t>Sergio Moreno CPS 0714/2019</t>
  </si>
  <si>
    <t>EJECUCIÓN CORTE A 31/JUL/2018</t>
  </si>
  <si>
    <t>DETALLE DE LA EJECUCIÓN DEL PRESUPUESTO - FEB 2019</t>
  </si>
  <si>
    <t>RESUMEN EJECUCIÓN DE APORTES - CORTE FEBRERO DE 2019</t>
  </si>
  <si>
    <t>RESUMEN EJECUCIÓN DE APORTES - CORTE FEBRERO DE 2018</t>
  </si>
  <si>
    <t>CPS 1568 Union Temporal Idipron Premiun</t>
  </si>
  <si>
    <t xml:space="preserve">Transporte menor (Jóvenes) </t>
  </si>
  <si>
    <t>Coordinador del Convenio 031/2018</t>
  </si>
  <si>
    <t>Contratista CPS 1434/2018</t>
  </si>
  <si>
    <t>Jhan Carlos Salazar M</t>
  </si>
  <si>
    <t>Profesional Financiero Convenio 031/2018</t>
  </si>
  <si>
    <t>Contratista CPS 0645/2018</t>
  </si>
  <si>
    <t xml:space="preserve">Combustible maquinaria procesamiento de residuos vegetales </t>
  </si>
  <si>
    <t>OC 35452/2019 Organización Terpel S.A.</t>
  </si>
  <si>
    <t xml:space="preserve">Combustible (gasolina) + Aceite  (2 tiempos) mantenimiento y restauración </t>
  </si>
  <si>
    <t>CONVENIO 031/2018 
                                                                   SUSCRITO ENTRE LA SECRETARIA DISTRITAL DE AMBIENTE - SDA, EL FONDO DE DESARROLLO LOCAL DE SAN CRISTOBAL - FDLSC Y EL IDIPRON</t>
  </si>
  <si>
    <t>Juan Pablo Ramirez Garcia</t>
  </si>
  <si>
    <t>Contratista CPS 1168/2019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</si>
</sst>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</numFmts>
  <fonts count="1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0"/>
      <name val="Calibri"/>
      <family val="2"/>
      <charset val="1"/>
    </font>
    <font>
      <b/>
      <u/>
      <sz val="10"/>
      <name val="Arial"/>
      <family val="2"/>
      <charset val="1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9">
    <xf numFmtId="0" fontId="0" fillId="0" borderId="0" xfId="0"/>
    <xf numFmtId="166" fontId="0" fillId="0" borderId="0" xfId="3" applyNumberFormat="1" applyFont="1"/>
    <xf numFmtId="0" fontId="0" fillId="6" borderId="0" xfId="0" applyFill="1"/>
    <xf numFmtId="0" fontId="0" fillId="0" borderId="0" xfId="0" applyFill="1"/>
    <xf numFmtId="0" fontId="2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0" xfId="0" applyFont="1"/>
    <xf numFmtId="4" fontId="1" fillId="0" borderId="0" xfId="1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0" fillId="0" borderId="0" xfId="0" applyNumberFormat="1"/>
    <xf numFmtId="0" fontId="0" fillId="0" borderId="12" xfId="0" applyBorder="1"/>
    <xf numFmtId="0" fontId="0" fillId="0" borderId="0" xfId="0" applyBorder="1"/>
    <xf numFmtId="166" fontId="0" fillId="0" borderId="0" xfId="0" applyNumberFormat="1"/>
    <xf numFmtId="0" fontId="0" fillId="0" borderId="0" xfId="0" applyFill="1" applyBorder="1"/>
    <xf numFmtId="0" fontId="4" fillId="0" borderId="13" xfId="2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4" fontId="10" fillId="0" borderId="0" xfId="1" applyNumberFormat="1" applyFont="1" applyBorder="1"/>
    <xf numFmtId="168" fontId="10" fillId="0" borderId="0" xfId="3" applyNumberFormat="1" applyFont="1" applyBorder="1"/>
    <xf numFmtId="168" fontId="10" fillId="0" borderId="0" xfId="1" applyNumberFormat="1" applyFont="1" applyBorder="1"/>
    <xf numFmtId="168" fontId="0" fillId="0" borderId="0" xfId="1" applyNumberFormat="1" applyFont="1"/>
    <xf numFmtId="168" fontId="9" fillId="0" borderId="0" xfId="1" applyNumberFormat="1" applyFont="1"/>
    <xf numFmtId="168" fontId="10" fillId="0" borderId="0" xfId="1" applyNumberFormat="1" applyFont="1"/>
    <xf numFmtId="166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vertical="center" wrapText="1"/>
    </xf>
    <xf numFmtId="4" fontId="1" fillId="5" borderId="0" xfId="1" applyNumberFormat="1" applyFont="1" applyFill="1" applyBorder="1" applyAlignment="1">
      <alignment vertical="center" wrapText="1"/>
    </xf>
    <xf numFmtId="4" fontId="0" fillId="6" borderId="0" xfId="0" applyNumberFormat="1" applyFill="1" applyBorder="1"/>
    <xf numFmtId="0" fontId="0" fillId="6" borderId="0" xfId="0" applyFill="1" applyBorder="1"/>
    <xf numFmtId="0" fontId="5" fillId="3" borderId="2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7" fillId="4" borderId="7" xfId="2" applyFont="1" applyFill="1" applyBorder="1"/>
    <xf numFmtId="0" fontId="5" fillId="0" borderId="7" xfId="2" applyFont="1" applyFill="1" applyBorder="1"/>
    <xf numFmtId="0" fontId="5" fillId="8" borderId="7" xfId="2" applyFont="1" applyFill="1" applyBorder="1"/>
    <xf numFmtId="0" fontId="7" fillId="0" borderId="7" xfId="2" applyFont="1" applyFill="1" applyBorder="1"/>
    <xf numFmtId="0" fontId="3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3" fillId="0" borderId="0" xfId="3" applyNumberFormat="1" applyFont="1" applyAlignment="1">
      <alignment horizontal="left" vertical="center"/>
    </xf>
    <xf numFmtId="0" fontId="5" fillId="3" borderId="39" xfId="2" applyFont="1" applyFill="1" applyBorder="1" applyAlignment="1">
      <alignment horizontal="center" vertical="center" wrapText="1"/>
    </xf>
    <xf numFmtId="0" fontId="1" fillId="0" borderId="40" xfId="2" applyFont="1" applyBorder="1"/>
    <xf numFmtId="0" fontId="1" fillId="0" borderId="41" xfId="2" applyFont="1" applyBorder="1"/>
    <xf numFmtId="0" fontId="4" fillId="0" borderId="0" xfId="2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right" vertical="center"/>
    </xf>
    <xf numFmtId="166" fontId="7" fillId="0" borderId="1" xfId="3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left" vertical="center" wrapText="1"/>
    </xf>
    <xf numFmtId="17" fontId="7" fillId="0" borderId="50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14" fontId="7" fillId="0" borderId="9" xfId="2" applyNumberFormat="1" applyFont="1" applyFill="1" applyBorder="1" applyAlignment="1">
      <alignment vertical="center" wrapText="1"/>
    </xf>
    <xf numFmtId="0" fontId="4" fillId="0" borderId="51" xfId="2" applyFont="1" applyFill="1" applyBorder="1" applyAlignment="1">
      <alignment horizontal="left" vertical="center"/>
    </xf>
    <xf numFmtId="14" fontId="7" fillId="0" borderId="52" xfId="2" applyNumberFormat="1" applyFont="1" applyFill="1" applyBorder="1" applyAlignment="1">
      <alignment vertical="center" wrapText="1"/>
    </xf>
    <xf numFmtId="0" fontId="4" fillId="0" borderId="53" xfId="2" applyFont="1" applyFill="1" applyBorder="1" applyAlignment="1">
      <alignment horizontal="left" vertical="center"/>
    </xf>
    <xf numFmtId="166" fontId="5" fillId="0" borderId="21" xfId="2" applyNumberFormat="1" applyFont="1" applyFill="1" applyBorder="1" applyAlignment="1">
      <alignment vertical="center" wrapText="1"/>
    </xf>
    <xf numFmtId="166" fontId="5" fillId="0" borderId="38" xfId="2" applyNumberFormat="1" applyFont="1" applyFill="1" applyBorder="1" applyAlignment="1">
      <alignment vertical="center" wrapText="1"/>
    </xf>
    <xf numFmtId="166" fontId="7" fillId="0" borderId="38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left" vertical="center"/>
    </xf>
    <xf numFmtId="166" fontId="5" fillId="3" borderId="38" xfId="2" applyNumberFormat="1" applyFont="1" applyFill="1" applyBorder="1" applyAlignment="1">
      <alignment vertical="center" wrapText="1"/>
    </xf>
    <xf numFmtId="0" fontId="4" fillId="3" borderId="43" xfId="2" applyFont="1" applyFill="1" applyBorder="1" applyAlignment="1">
      <alignment horizontal="left" vertical="center"/>
    </xf>
    <xf numFmtId="166" fontId="5" fillId="3" borderId="54" xfId="2" applyNumberFormat="1" applyFont="1" applyFill="1" applyBorder="1" applyAlignment="1">
      <alignment vertical="center" wrapText="1"/>
    </xf>
    <xf numFmtId="0" fontId="11" fillId="7" borderId="55" xfId="2" applyFont="1" applyFill="1" applyBorder="1" applyAlignment="1">
      <alignment horizontal="left" vertical="center"/>
    </xf>
    <xf numFmtId="0" fontId="4" fillId="0" borderId="49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38" xfId="2" applyFont="1" applyFill="1" applyBorder="1" applyAlignment="1">
      <alignment horizontal="center" vertical="center" wrapText="1"/>
    </xf>
    <xf numFmtId="166" fontId="7" fillId="0" borderId="11" xfId="3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66" fontId="7" fillId="0" borderId="42" xfId="3" applyNumberFormat="1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166" fontId="7" fillId="0" borderId="44" xfId="3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/>
    </xf>
    <xf numFmtId="0" fontId="7" fillId="0" borderId="60" xfId="2" applyFont="1" applyFill="1" applyBorder="1" applyAlignment="1">
      <alignment horizontal="left" vertical="center"/>
    </xf>
    <xf numFmtId="0" fontId="7" fillId="0" borderId="62" xfId="2" applyFont="1" applyFill="1" applyBorder="1" applyAlignment="1">
      <alignment horizontal="left" vertical="center"/>
    </xf>
    <xf numFmtId="0" fontId="0" fillId="0" borderId="63" xfId="0" applyFill="1" applyBorder="1"/>
    <xf numFmtId="0" fontId="7" fillId="0" borderId="53" xfId="2" applyFont="1" applyFill="1" applyBorder="1" applyAlignment="1">
      <alignment horizontal="left" vertical="center"/>
    </xf>
    <xf numFmtId="166" fontId="7" fillId="0" borderId="21" xfId="2" applyNumberFormat="1" applyFont="1" applyFill="1" applyBorder="1" applyAlignment="1">
      <alignment vertical="center" wrapText="1"/>
    </xf>
    <xf numFmtId="0" fontId="7" fillId="3" borderId="7" xfId="2" applyFont="1" applyFill="1" applyBorder="1" applyAlignment="1">
      <alignment horizontal="left" vertical="center"/>
    </xf>
    <xf numFmtId="166" fontId="7" fillId="3" borderId="38" xfId="2" applyNumberFormat="1" applyFont="1" applyFill="1" applyBorder="1" applyAlignment="1">
      <alignment vertical="center" wrapText="1"/>
    </xf>
    <xf numFmtId="0" fontId="12" fillId="7" borderId="10" xfId="2" applyFont="1" applyFill="1" applyBorder="1" applyAlignment="1">
      <alignment horizontal="left" vertical="center"/>
    </xf>
    <xf numFmtId="166" fontId="7" fillId="7" borderId="22" xfId="2" applyNumberFormat="1" applyFont="1" applyFill="1" applyBorder="1" applyAlignment="1">
      <alignment vertical="center" wrapText="1"/>
    </xf>
    <xf numFmtId="14" fontId="7" fillId="0" borderId="56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0" xfId="0" applyFont="1"/>
    <xf numFmtId="0" fontId="5" fillId="4" borderId="7" xfId="2" applyFont="1" applyFill="1" applyBorder="1"/>
    <xf numFmtId="166" fontId="5" fillId="4" borderId="1" xfId="3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166" fontId="5" fillId="2" borderId="1" xfId="3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166" fontId="14" fillId="0" borderId="1" xfId="3" applyNumberFormat="1" applyFont="1" applyBorder="1" applyAlignment="1">
      <alignment horizontal="center" vertical="center"/>
    </xf>
    <xf numFmtId="166" fontId="14" fillId="0" borderId="38" xfId="3" applyNumberFormat="1" applyFont="1" applyBorder="1" applyAlignment="1">
      <alignment horizontal="center" vertical="center"/>
    </xf>
    <xf numFmtId="0" fontId="7" fillId="4" borderId="1" xfId="2" applyFont="1" applyFill="1" applyBorder="1" applyAlignment="1">
      <alignment horizontal="center"/>
    </xf>
    <xf numFmtId="166" fontId="7" fillId="4" borderId="1" xfId="3" applyNumberFormat="1" applyFont="1" applyFill="1" applyBorder="1" applyAlignment="1">
      <alignment horizontal="center" vertical="center"/>
    </xf>
    <xf numFmtId="166" fontId="14" fillId="4" borderId="38" xfId="3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166" fontId="15" fillId="4" borderId="1" xfId="3" applyNumberFormat="1" applyFont="1" applyFill="1" applyBorder="1" applyAlignment="1">
      <alignment horizontal="center" vertical="center"/>
    </xf>
    <xf numFmtId="166" fontId="14" fillId="6" borderId="1" xfId="3" applyNumberFormat="1" applyFont="1" applyFill="1" applyBorder="1" applyAlignment="1">
      <alignment horizontal="center" vertical="center"/>
    </xf>
    <xf numFmtId="0" fontId="5" fillId="8" borderId="1" xfId="2" applyFont="1" applyFill="1" applyBorder="1" applyAlignment="1">
      <alignment horizontal="center"/>
    </xf>
    <xf numFmtId="166" fontId="5" fillId="8" borderId="1" xfId="3" applyNumberFormat="1" applyFont="1" applyFill="1" applyBorder="1" applyAlignment="1">
      <alignment horizontal="center" vertical="center"/>
    </xf>
    <xf numFmtId="166" fontId="14" fillId="4" borderId="1" xfId="3" applyNumberFormat="1" applyFont="1" applyFill="1" applyBorder="1" applyAlignment="1">
      <alignment horizontal="center" vertical="center"/>
    </xf>
    <xf numFmtId="0" fontId="7" fillId="8" borderId="1" xfId="2" applyFont="1" applyFill="1" applyBorder="1" applyAlignment="1">
      <alignment horizontal="center"/>
    </xf>
    <xf numFmtId="166" fontId="14" fillId="8" borderId="1" xfId="3" applyNumberFormat="1" applyFont="1" applyFill="1" applyBorder="1" applyAlignment="1">
      <alignment horizontal="center" vertical="center"/>
    </xf>
    <xf numFmtId="166" fontId="14" fillId="0" borderId="0" xfId="3" applyNumberFormat="1" applyFont="1" applyAlignment="1">
      <alignment horizontal="center"/>
    </xf>
    <xf numFmtId="166" fontId="14" fillId="0" borderId="0" xfId="3" applyNumberFormat="1" applyFont="1"/>
    <xf numFmtId="9" fontId="14" fillId="0" borderId="0" xfId="4" applyFont="1"/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166" fontId="5" fillId="4" borderId="44" xfId="3" applyNumberFormat="1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166" fontId="15" fillId="8" borderId="1" xfId="3" applyNumberFormat="1" applyFont="1" applyFill="1" applyBorder="1" applyAlignment="1">
      <alignment horizontal="center" vertical="center"/>
    </xf>
    <xf numFmtId="166" fontId="15" fillId="6" borderId="1" xfId="3" applyNumberFormat="1" applyFont="1" applyFill="1" applyBorder="1" applyAlignment="1">
      <alignment horizontal="center" vertical="center"/>
    </xf>
    <xf numFmtId="166" fontId="15" fillId="8" borderId="38" xfId="3" applyNumberFormat="1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 wrapText="1"/>
    </xf>
    <xf numFmtId="0" fontId="5" fillId="3" borderId="75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2" fillId="10" borderId="66" xfId="2" applyFont="1" applyFill="1" applyBorder="1" applyAlignment="1">
      <alignment vertical="center" wrapText="1"/>
    </xf>
    <xf numFmtId="0" fontId="2" fillId="10" borderId="2" xfId="2" applyFont="1" applyFill="1" applyBorder="1" applyAlignment="1">
      <alignment vertical="center" wrapText="1"/>
    </xf>
    <xf numFmtId="0" fontId="2" fillId="10" borderId="4" xfId="2" applyFont="1" applyFill="1" applyBorder="1" applyAlignment="1">
      <alignment horizontal="left" vertical="center" wrapText="1"/>
    </xf>
    <xf numFmtId="0" fontId="2" fillId="10" borderId="76" xfId="2" applyFont="1" applyFill="1" applyBorder="1" applyAlignment="1">
      <alignment horizontal="left" vertical="center" wrapText="1"/>
    </xf>
    <xf numFmtId="0" fontId="2" fillId="10" borderId="77" xfId="2" applyFont="1" applyFill="1" applyBorder="1" applyAlignment="1">
      <alignment horizontal="left" vertical="center" wrapText="1"/>
    </xf>
    <xf numFmtId="166" fontId="1" fillId="0" borderId="4" xfId="3" applyNumberFormat="1" applyFont="1" applyBorder="1" applyAlignment="1">
      <alignment horizontal="left"/>
    </xf>
    <xf numFmtId="166" fontId="1" fillId="0" borderId="45" xfId="3" applyNumberFormat="1" applyFont="1" applyBorder="1" applyAlignment="1">
      <alignment horizontal="left"/>
    </xf>
    <xf numFmtId="0" fontId="2" fillId="10" borderId="81" xfId="2" applyFont="1" applyFill="1" applyBorder="1" applyAlignment="1">
      <alignment vertical="center" wrapText="1"/>
    </xf>
    <xf numFmtId="166" fontId="5" fillId="10" borderId="82" xfId="3" applyNumberFormat="1" applyFont="1" applyFill="1" applyBorder="1" applyAlignment="1">
      <alignment horizontal="left" vertical="center" wrapText="1"/>
    </xf>
    <xf numFmtId="166" fontId="5" fillId="10" borderId="83" xfId="3" applyNumberFormat="1" applyFont="1" applyFill="1" applyBorder="1" applyAlignment="1">
      <alignment horizontal="left" vertical="center" wrapText="1"/>
    </xf>
    <xf numFmtId="0" fontId="1" fillId="0" borderId="51" xfId="2" applyFont="1" applyBorder="1"/>
    <xf numFmtId="0" fontId="1" fillId="0" borderId="84" xfId="2" applyFont="1" applyBorder="1"/>
    <xf numFmtId="166" fontId="1" fillId="0" borderId="85" xfId="3" applyNumberFormat="1" applyFont="1" applyBorder="1" applyAlignment="1">
      <alignment horizontal="left"/>
    </xf>
    <xf numFmtId="166" fontId="1" fillId="0" borderId="86" xfId="3" applyNumberFormat="1" applyFont="1" applyBorder="1" applyAlignment="1">
      <alignment horizontal="left"/>
    </xf>
    <xf numFmtId="0" fontId="2" fillId="10" borderId="7" xfId="2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horizontal="left" vertical="center" wrapText="1"/>
    </xf>
    <xf numFmtId="166" fontId="2" fillId="10" borderId="76" xfId="3" applyNumberFormat="1" applyFont="1" applyFill="1" applyBorder="1" applyAlignment="1">
      <alignment horizontal="left" vertical="center" wrapText="1"/>
    </xf>
    <xf numFmtId="166" fontId="2" fillId="10" borderId="77" xfId="3" applyNumberFormat="1" applyFont="1" applyFill="1" applyBorder="1" applyAlignment="1">
      <alignment horizontal="left" vertical="center" wrapText="1"/>
    </xf>
    <xf numFmtId="166" fontId="1" fillId="0" borderId="88" xfId="3" applyNumberFormat="1" applyFont="1" applyBorder="1" applyAlignment="1">
      <alignment horizontal="left"/>
    </xf>
    <xf numFmtId="0" fontId="16" fillId="2" borderId="20" xfId="2" applyFont="1" applyFill="1" applyBorder="1"/>
    <xf numFmtId="9" fontId="0" fillId="0" borderId="0" xfId="4" applyNumberFormat="1" applyFont="1" applyAlignment="1">
      <alignment horizontal="center"/>
    </xf>
    <xf numFmtId="0" fontId="2" fillId="10" borderId="92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66" fontId="0" fillId="0" borderId="0" xfId="3" applyNumberFormat="1" applyFont="1" applyFill="1" applyBorder="1" applyAlignment="1">
      <alignment horizontal="left"/>
    </xf>
    <xf numFmtId="166" fontId="1" fillId="0" borderId="0" xfId="3" applyNumberFormat="1" applyFont="1" applyFill="1" applyBorder="1" applyAlignment="1">
      <alignment horizontal="left"/>
    </xf>
    <xf numFmtId="166" fontId="15" fillId="0" borderId="0" xfId="3" applyNumberFormat="1" applyFont="1" applyFill="1" applyBorder="1" applyAlignment="1">
      <alignment horizontal="left" vertical="center"/>
    </xf>
    <xf numFmtId="166" fontId="16" fillId="0" borderId="0" xfId="3" applyNumberFormat="1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0" fontId="2" fillId="10" borderId="87" xfId="2" applyFont="1" applyFill="1" applyBorder="1" applyAlignment="1">
      <alignment horizontal="left" vertical="center" wrapText="1"/>
    </xf>
    <xf numFmtId="166" fontId="5" fillId="10" borderId="89" xfId="3" applyNumberFormat="1" applyFont="1" applyFill="1" applyBorder="1" applyAlignment="1">
      <alignment horizontal="left" vertical="center" wrapText="1"/>
    </xf>
    <xf numFmtId="166" fontId="1" fillId="0" borderId="93" xfId="3" applyNumberFormat="1" applyFont="1" applyBorder="1" applyAlignment="1">
      <alignment horizontal="left"/>
    </xf>
    <xf numFmtId="166" fontId="2" fillId="10" borderId="87" xfId="3" applyNumberFormat="1" applyFont="1" applyFill="1" applyBorder="1" applyAlignment="1">
      <alignment horizontal="left" vertical="center" wrapText="1"/>
    </xf>
    <xf numFmtId="166" fontId="5" fillId="7" borderId="94" xfId="2" applyNumberFormat="1" applyFont="1" applyFill="1" applyBorder="1" applyAlignment="1">
      <alignment vertical="center" wrapText="1"/>
    </xf>
    <xf numFmtId="166" fontId="16" fillId="2" borderId="90" xfId="2" applyNumberFormat="1" applyFont="1" applyFill="1" applyBorder="1" applyAlignment="1">
      <alignment horizontal="center"/>
    </xf>
    <xf numFmtId="166" fontId="16" fillId="2" borderId="95" xfId="2" applyNumberFormat="1" applyFont="1" applyFill="1" applyBorder="1" applyAlignment="1">
      <alignment horizontal="center"/>
    </xf>
    <xf numFmtId="14" fontId="7" fillId="0" borderId="38" xfId="2" applyNumberFormat="1" applyFont="1" applyFill="1" applyBorder="1" applyAlignment="1">
      <alignment vertical="center" wrapText="1"/>
    </xf>
    <xf numFmtId="14" fontId="7" fillId="0" borderId="61" xfId="2" applyNumberFormat="1" applyFont="1" applyFill="1" applyBorder="1" applyAlignment="1">
      <alignment vertical="center" wrapText="1"/>
    </xf>
    <xf numFmtId="14" fontId="7" fillId="0" borderId="38" xfId="2" applyNumberFormat="1" applyFont="1" applyFill="1" applyBorder="1" applyAlignment="1">
      <alignment horizontal="center" vertical="center" wrapText="1"/>
    </xf>
    <xf numFmtId="166" fontId="14" fillId="0" borderId="0" xfId="4" applyNumberFormat="1" applyFont="1"/>
    <xf numFmtId="166" fontId="14" fillId="0" borderId="1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7" fillId="0" borderId="7" xfId="2" applyFont="1" applyFill="1" applyBorder="1"/>
    <xf numFmtId="0" fontId="7" fillId="6" borderId="7" xfId="2" applyFont="1" applyFill="1" applyBorder="1"/>
    <xf numFmtId="0" fontId="7" fillId="6" borderId="1" xfId="2" applyFont="1" applyFill="1" applyBorder="1" applyAlignment="1">
      <alignment horizontal="center"/>
    </xf>
    <xf numFmtId="166" fontId="14" fillId="6" borderId="38" xfId="3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left" wrapText="1"/>
    </xf>
    <xf numFmtId="166" fontId="0" fillId="0" borderId="0" xfId="0" applyNumberFormat="1" applyFill="1" applyBorder="1"/>
    <xf numFmtId="3" fontId="14" fillId="0" borderId="0" xfId="4" applyNumberFormat="1" applyFont="1"/>
    <xf numFmtId="0" fontId="5" fillId="6" borderId="7" xfId="2" applyFont="1" applyFill="1" applyBorder="1"/>
    <xf numFmtId="166" fontId="7" fillId="6" borderId="1" xfId="3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166" fontId="5" fillId="6" borderId="1" xfId="3" applyNumberFormat="1" applyFont="1" applyFill="1" applyBorder="1" applyAlignment="1">
      <alignment horizontal="center" vertical="center"/>
    </xf>
    <xf numFmtId="166" fontId="0" fillId="6" borderId="0" xfId="0" applyNumberFormat="1" applyFill="1"/>
    <xf numFmtId="166" fontId="7" fillId="0" borderId="1" xfId="3" applyNumberFormat="1" applyFont="1" applyBorder="1" applyAlignment="1">
      <alignment horizontal="center" vertical="center"/>
    </xf>
    <xf numFmtId="0" fontId="5" fillId="12" borderId="7" xfId="2" applyFont="1" applyFill="1" applyBorder="1"/>
    <xf numFmtId="0" fontId="7" fillId="12" borderId="1" xfId="2" applyFont="1" applyFill="1" applyBorder="1" applyAlignment="1">
      <alignment horizontal="center"/>
    </xf>
    <xf numFmtId="166" fontId="7" fillId="12" borderId="1" xfId="3" applyNumberFormat="1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5" fillId="3" borderId="74" xfId="2" applyFont="1" applyFill="1" applyBorder="1" applyAlignment="1">
      <alignment horizontal="center" vertical="center" wrapText="1"/>
    </xf>
    <xf numFmtId="0" fontId="7" fillId="4" borderId="5" xfId="2" applyFont="1" applyFill="1" applyBorder="1"/>
    <xf numFmtId="166" fontId="7" fillId="4" borderId="6" xfId="3" applyNumberFormat="1" applyFont="1" applyFill="1" applyBorder="1" applyAlignment="1">
      <alignment horizontal="center" vertical="center"/>
    </xf>
    <xf numFmtId="166" fontId="7" fillId="6" borderId="6" xfId="3" applyNumberFormat="1" applyFont="1" applyFill="1" applyBorder="1" applyAlignment="1">
      <alignment horizontal="center" vertical="center"/>
    </xf>
    <xf numFmtId="166" fontId="5" fillId="4" borderId="6" xfId="3" applyNumberFormat="1" applyFont="1" applyFill="1" applyBorder="1" applyAlignment="1">
      <alignment horizontal="center" vertical="center"/>
    </xf>
    <xf numFmtId="166" fontId="5" fillId="4" borderId="98" xfId="3" applyNumberFormat="1" applyFont="1" applyFill="1" applyBorder="1" applyAlignment="1">
      <alignment horizontal="center" vertical="center"/>
    </xf>
    <xf numFmtId="166" fontId="5" fillId="8" borderId="38" xfId="3" applyNumberFormat="1" applyFont="1" applyFill="1" applyBorder="1" applyAlignment="1">
      <alignment horizontal="center" vertical="center"/>
    </xf>
    <xf numFmtId="166" fontId="5" fillId="4" borderId="38" xfId="3" applyNumberFormat="1" applyFont="1" applyFill="1" applyBorder="1" applyAlignment="1">
      <alignment horizontal="center" vertical="center"/>
    </xf>
    <xf numFmtId="166" fontId="15" fillId="0" borderId="38" xfId="3" applyNumberFormat="1" applyFont="1" applyBorder="1" applyAlignment="1">
      <alignment horizontal="center" vertical="center"/>
    </xf>
    <xf numFmtId="166" fontId="15" fillId="6" borderId="38" xfId="3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vertical="center" wrapText="1"/>
    </xf>
    <xf numFmtId="0" fontId="13" fillId="0" borderId="7" xfId="0" applyFont="1" applyBorder="1"/>
    <xf numFmtId="0" fontId="13" fillId="0" borderId="7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vertical="top" wrapText="1"/>
    </xf>
    <xf numFmtId="0" fontId="13" fillId="0" borderId="7" xfId="0" applyFont="1" applyFill="1" applyBorder="1"/>
    <xf numFmtId="0" fontId="13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 applyProtection="1">
      <alignment vertical="center" wrapText="1"/>
    </xf>
    <xf numFmtId="166" fontId="7" fillId="6" borderId="38" xfId="3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top"/>
    </xf>
    <xf numFmtId="166" fontId="5" fillId="2" borderId="38" xfId="3" applyNumberFormat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/>
    </xf>
    <xf numFmtId="166" fontId="7" fillId="4" borderId="6" xfId="3" applyNumberFormat="1" applyFont="1" applyFill="1" applyBorder="1" applyAlignment="1">
      <alignment horizontal="center"/>
    </xf>
    <xf numFmtId="166" fontId="5" fillId="4" borderId="6" xfId="3" applyNumberFormat="1" applyFont="1" applyFill="1" applyBorder="1" applyAlignment="1">
      <alignment horizontal="center"/>
    </xf>
    <xf numFmtId="166" fontId="5" fillId="8" borderId="1" xfId="3" applyNumberFormat="1" applyFont="1" applyFill="1" applyBorder="1" applyAlignment="1">
      <alignment horizontal="center"/>
    </xf>
    <xf numFmtId="166" fontId="7" fillId="4" borderId="1" xfId="3" applyNumberFormat="1" applyFont="1" applyFill="1" applyBorder="1" applyAlignment="1">
      <alignment horizontal="center"/>
    </xf>
    <xf numFmtId="166" fontId="5" fillId="4" borderId="1" xfId="3" applyNumberFormat="1" applyFont="1" applyFill="1" applyBorder="1" applyAlignment="1">
      <alignment horizontal="center"/>
    </xf>
    <xf numFmtId="166" fontId="7" fillId="0" borderId="1" xfId="3" applyNumberFormat="1" applyFont="1" applyBorder="1" applyAlignment="1">
      <alignment horizontal="center"/>
    </xf>
    <xf numFmtId="166" fontId="7" fillId="0" borderId="1" xfId="3" applyNumberFormat="1" applyFont="1" applyFill="1" applyBorder="1" applyAlignment="1">
      <alignment horizontal="center"/>
    </xf>
    <xf numFmtId="167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66" fontId="7" fillId="6" borderId="1" xfId="3" applyNumberFormat="1" applyFont="1" applyFill="1" applyBorder="1" applyAlignment="1">
      <alignment horizontal="center"/>
    </xf>
    <xf numFmtId="166" fontId="5" fillId="6" borderId="1" xfId="3" applyNumberFormat="1" applyFont="1" applyFill="1" applyBorder="1" applyAlignment="1">
      <alignment horizontal="center"/>
    </xf>
    <xf numFmtId="166" fontId="7" fillId="0" borderId="1" xfId="3" applyNumberFormat="1" applyFont="1" applyFill="1" applyBorder="1" applyAlignment="1">
      <alignment horizontal="right" vertical="center" wrapText="1"/>
    </xf>
    <xf numFmtId="0" fontId="14" fillId="0" borderId="1" xfId="0" applyFont="1" applyBorder="1"/>
    <xf numFmtId="166" fontId="7" fillId="0" borderId="1" xfId="3" applyNumberFormat="1" applyFont="1" applyFill="1" applyBorder="1" applyAlignment="1">
      <alignment vertical="center"/>
    </xf>
    <xf numFmtId="166" fontId="7" fillId="8" borderId="1" xfId="3" applyNumberFormat="1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166" fontId="7" fillId="6" borderId="1" xfId="3" applyNumberFormat="1" applyFont="1" applyFill="1" applyBorder="1" applyAlignment="1">
      <alignment horizontal="right" vertical="center" wrapText="1"/>
    </xf>
    <xf numFmtId="0" fontId="14" fillId="6" borderId="1" xfId="0" applyFont="1" applyFill="1" applyBorder="1"/>
    <xf numFmtId="0" fontId="7" fillId="6" borderId="7" xfId="0" applyFont="1" applyFill="1" applyBorder="1" applyAlignment="1">
      <alignment vertical="center" wrapText="1"/>
    </xf>
    <xf numFmtId="166" fontId="14" fillId="0" borderId="38" xfId="3" applyNumberFormat="1" applyFont="1" applyFill="1" applyBorder="1" applyAlignment="1">
      <alignment horizontal="center" vertical="center"/>
    </xf>
    <xf numFmtId="166" fontId="5" fillId="9" borderId="7" xfId="3" applyNumberFormat="1" applyFont="1" applyFill="1" applyBorder="1" applyAlignment="1">
      <alignment horizontal="left" vertical="center"/>
    </xf>
    <xf numFmtId="166" fontId="5" fillId="9" borderId="1" xfId="3" applyNumberFormat="1" applyFont="1" applyFill="1" applyBorder="1" applyAlignment="1">
      <alignment horizontal="center" vertical="center"/>
    </xf>
    <xf numFmtId="166" fontId="5" fillId="9" borderId="38" xfId="3" applyNumberFormat="1" applyFont="1" applyFill="1" applyBorder="1" applyAlignment="1">
      <alignment horizontal="center" vertical="center"/>
    </xf>
    <xf numFmtId="166" fontId="14" fillId="0" borderId="10" xfId="3" applyNumberFormat="1" applyFont="1" applyBorder="1" applyAlignment="1">
      <alignment horizontal="center"/>
    </xf>
    <xf numFmtId="166" fontId="14" fillId="0" borderId="11" xfId="3" applyNumberFormat="1" applyFont="1" applyBorder="1"/>
    <xf numFmtId="9" fontId="14" fillId="0" borderId="11" xfId="4" applyFont="1" applyBorder="1"/>
    <xf numFmtId="9" fontId="14" fillId="0" borderId="22" xfId="4" applyFont="1" applyBorder="1"/>
    <xf numFmtId="166" fontId="7" fillId="12" borderId="1" xfId="3" applyNumberFormat="1" applyFont="1" applyFill="1" applyBorder="1" applyAlignment="1">
      <alignment horizontal="center"/>
    </xf>
    <xf numFmtId="166" fontId="5" fillId="12" borderId="1" xfId="3" applyNumberFormat="1" applyFont="1" applyFill="1" applyBorder="1" applyAlignment="1">
      <alignment horizontal="center" vertical="center"/>
    </xf>
    <xf numFmtId="166" fontId="14" fillId="12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/>
    </xf>
    <xf numFmtId="166" fontId="5" fillId="11" borderId="1" xfId="3" applyNumberFormat="1" applyFont="1" applyFill="1" applyBorder="1" applyAlignment="1">
      <alignment horizontal="center" vertical="center"/>
    </xf>
    <xf numFmtId="166" fontId="7" fillId="11" borderId="1" xfId="3" applyNumberFormat="1" applyFont="1" applyFill="1" applyBorder="1" applyAlignment="1">
      <alignment horizontal="center" vertical="center"/>
    </xf>
    <xf numFmtId="169" fontId="5" fillId="6" borderId="1" xfId="3" applyNumberFormat="1" applyFont="1" applyFill="1" applyBorder="1" applyAlignment="1">
      <alignment horizontal="center" vertical="center"/>
    </xf>
    <xf numFmtId="166" fontId="7" fillId="8" borderId="1" xfId="3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left" vertical="top" wrapText="1"/>
    </xf>
    <xf numFmtId="166" fontId="5" fillId="12" borderId="38" xfId="3" applyNumberFormat="1" applyFont="1" applyFill="1" applyBorder="1" applyAlignment="1">
      <alignment horizontal="center" vertical="center"/>
    </xf>
    <xf numFmtId="166" fontId="5" fillId="12" borderId="1" xfId="3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left" vertical="top" wrapText="1"/>
    </xf>
    <xf numFmtId="165" fontId="7" fillId="0" borderId="1" xfId="3" applyFont="1" applyBorder="1" applyAlignment="1">
      <alignment horizontal="right" vertical="center"/>
    </xf>
    <xf numFmtId="166" fontId="18" fillId="6" borderId="1" xfId="3" applyNumberFormat="1" applyFont="1" applyFill="1" applyBorder="1" applyAlignment="1">
      <alignment horizontal="center"/>
    </xf>
    <xf numFmtId="166" fontId="18" fillId="0" borderId="1" xfId="3" applyNumberFormat="1" applyFont="1" applyBorder="1" applyAlignment="1">
      <alignment horizontal="center" vertical="center"/>
    </xf>
    <xf numFmtId="166" fontId="18" fillId="6" borderId="1" xfId="3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5" fillId="3" borderId="78" xfId="2" applyFont="1" applyFill="1" applyBorder="1" applyAlignment="1">
      <alignment horizontal="center" vertical="center" wrapText="1"/>
    </xf>
    <xf numFmtId="0" fontId="5" fillId="3" borderId="80" xfId="2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7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73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70" xfId="2" applyFont="1" applyFill="1" applyBorder="1" applyAlignment="1">
      <alignment horizontal="center" vertical="center" wrapText="1"/>
    </xf>
    <xf numFmtId="0" fontId="7" fillId="0" borderId="67" xfId="2" applyFont="1" applyFill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  <xf numFmtId="0" fontId="7" fillId="0" borderId="71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3" borderId="3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96" xfId="2" applyFont="1" applyFill="1" applyBorder="1" applyAlignment="1">
      <alignment horizontal="center" vertical="center" wrapText="1"/>
    </xf>
    <xf numFmtId="0" fontId="5" fillId="3" borderId="97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Normal" xfId="0" builtinId="0"/>
    <cellStyle name="Porcentaje" xfId="4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63877</xdr:colOff>
      <xdr:row>0</xdr:row>
      <xdr:rowOff>121025</xdr:rowOff>
    </xdr:from>
    <xdr:to>
      <xdr:col>1</xdr:col>
      <xdr:colOff>1673601</xdr:colOff>
      <xdr:row>0</xdr:row>
      <xdr:rowOff>619527</xdr:rowOff>
    </xdr:to>
    <xdr:pic>
      <xdr:nvPicPr>
        <xdr:cNvPr id="4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02" y="1210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</xdr:rowOff>
    </xdr:from>
    <xdr:to>
      <xdr:col>0</xdr:col>
      <xdr:colOff>2143125</xdr:colOff>
      <xdr:row>2</xdr:row>
      <xdr:rowOff>18320</xdr:rowOff>
    </xdr:to>
    <xdr:pic>
      <xdr:nvPicPr>
        <xdr:cNvPr id="2" name="1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"/>
          <a:ext cx="2028824" cy="71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781050</xdr:colOff>
      <xdr:row>35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117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235327</xdr:colOff>
      <xdr:row>0</xdr:row>
      <xdr:rowOff>44825</xdr:rowOff>
    </xdr:from>
    <xdr:to>
      <xdr:col>1</xdr:col>
      <xdr:colOff>1568826</xdr:colOff>
      <xdr:row>0</xdr:row>
      <xdr:rowOff>543327</xdr:rowOff>
    </xdr:to>
    <xdr:pic>
      <xdr:nvPicPr>
        <xdr:cNvPr id="2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7" y="448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ompartida/Inf%20Seguimiento%20a%20Convenios/Seguimiento%20Financiero%20a%20Convenios%202017/Convenios%20Vigentes%202017/Convenio%20Idiger%20345-2017/Informes/2018/Informe%20Febrero-18%20IDIGER%2034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INFORME GENERAL"/>
    </sheetNames>
    <sheetDataSet>
      <sheetData sheetId="0">
        <row r="64">
          <cell r="F64">
            <v>0</v>
          </cell>
        </row>
        <row r="69">
          <cell r="F69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0</v>
          </cell>
        </row>
        <row r="83">
          <cell r="F8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67"/>
  <sheetViews>
    <sheetView view="pageBreakPreview" zoomScaleSheetLayoutView="100" workbookViewId="0">
      <selection activeCell="G14" sqref="G14"/>
    </sheetView>
  </sheetViews>
  <sheetFormatPr baseColWidth="10" defaultColWidth="9.140625" defaultRowHeight="15" x14ac:dyDescent="0.25"/>
  <cols>
    <col min="1" max="1" width="4.140625" customWidth="1"/>
    <col min="2" max="2" width="48.7109375" bestFit="1" customWidth="1"/>
    <col min="3" max="3" width="15.5703125" customWidth="1"/>
    <col min="4" max="4" width="15.5703125" bestFit="1" customWidth="1"/>
    <col min="5" max="5" width="17.85546875" customWidth="1"/>
    <col min="6" max="6" width="16.85546875" customWidth="1"/>
    <col min="7" max="7" width="17.85546875" customWidth="1"/>
    <col min="8" max="8" width="20.42578125" customWidth="1"/>
    <col min="9" max="9" width="23.140625" customWidth="1"/>
    <col min="10" max="19" width="19.140625" customWidth="1"/>
    <col min="20" max="20" width="17.7109375" customWidth="1"/>
    <col min="21" max="21" width="15" customWidth="1"/>
    <col min="22" max="22" width="3.5703125" customWidth="1"/>
    <col min="23" max="23" width="19.140625" bestFit="1" customWidth="1"/>
    <col min="24" max="26" width="18.5703125" customWidth="1"/>
    <col min="27" max="27" width="18" bestFit="1" customWidth="1"/>
    <col min="28" max="28" width="15.5703125" customWidth="1"/>
    <col min="29" max="29" width="13.140625" style="1" bestFit="1" customWidth="1"/>
  </cols>
  <sheetData>
    <row r="1" spans="2:53" s="3" customFormat="1" ht="70.5" customHeight="1" x14ac:dyDescent="0.25">
      <c r="B1" s="262" t="s">
        <v>213</v>
      </c>
      <c r="C1" s="262"/>
      <c r="D1" s="262"/>
      <c r="E1" s="262"/>
      <c r="F1" s="262"/>
      <c r="G1" s="262"/>
      <c r="H1" s="262"/>
      <c r="I1" s="26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53" s="3" customFormat="1" ht="1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53" s="3" customFormat="1" ht="15" customHeight="1" x14ac:dyDescent="0.25">
      <c r="B3" s="281" t="s">
        <v>201</v>
      </c>
      <c r="C3" s="281"/>
      <c r="D3" s="281"/>
      <c r="E3" s="281"/>
      <c r="F3" s="281"/>
      <c r="G3" s="281"/>
      <c r="H3" s="281"/>
      <c r="I3" s="281"/>
      <c r="J3" s="31"/>
      <c r="K3" s="115"/>
      <c r="L3" s="116"/>
      <c r="M3" s="115"/>
      <c r="N3" s="115"/>
      <c r="O3" s="115"/>
      <c r="P3" s="91"/>
      <c r="Q3" s="116"/>
      <c r="R3" s="115"/>
      <c r="S3" s="115"/>
      <c r="T3" s="31"/>
      <c r="U3" s="31"/>
      <c r="V3" s="31"/>
      <c r="W3" s="25"/>
      <c r="X3" s="25"/>
      <c r="Y3" s="25"/>
      <c r="Z3" s="25"/>
      <c r="AA3" s="25"/>
      <c r="AB3" s="25"/>
      <c r="AC3" s="25"/>
      <c r="AD3" s="25"/>
    </row>
    <row r="4" spans="2:53" s="3" customFormat="1" ht="15" customHeight="1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5"/>
      <c r="AD4" s="25"/>
    </row>
    <row r="5" spans="2:53" s="3" customFormat="1" ht="15" customHeight="1" thickBot="1" x14ac:dyDescent="0.3">
      <c r="B5" s="49" t="s">
        <v>91</v>
      </c>
      <c r="C5" s="50">
        <f>+'DETALLE FEBRERO '!B5</f>
        <v>43524</v>
      </c>
      <c r="D5" s="25"/>
      <c r="E5" s="25"/>
      <c r="F5" s="31"/>
      <c r="G5" s="31"/>
      <c r="H5" s="31"/>
      <c r="I5" s="31"/>
      <c r="J5" s="31"/>
      <c r="K5" s="115"/>
      <c r="L5" s="116"/>
      <c r="M5" s="115"/>
      <c r="N5" s="115"/>
      <c r="O5" s="115"/>
      <c r="P5" s="91"/>
      <c r="Q5" s="116"/>
      <c r="R5" s="115"/>
      <c r="S5" s="115"/>
      <c r="T5" s="31"/>
      <c r="U5" s="31"/>
      <c r="V5" s="31"/>
      <c r="W5" s="25"/>
      <c r="X5" s="25"/>
      <c r="Y5" s="25"/>
      <c r="Z5" s="25"/>
      <c r="AA5" s="25"/>
      <c r="AB5" s="25"/>
      <c r="AC5" s="25"/>
      <c r="AD5" s="25"/>
    </row>
    <row r="6" spans="2:53" s="3" customFormat="1" ht="15" customHeight="1" thickBot="1" x14ac:dyDescent="0.3">
      <c r="B6" s="51" t="s">
        <v>10</v>
      </c>
      <c r="C6" s="52">
        <f>+'DETALLE FEBRERO '!B6</f>
        <v>43405</v>
      </c>
      <c r="D6" s="31"/>
      <c r="E6" s="64" t="s">
        <v>67</v>
      </c>
      <c r="F6" s="31"/>
      <c r="G6" s="31"/>
      <c r="H6" s="31"/>
      <c r="I6" s="31"/>
      <c r="J6" s="31"/>
      <c r="K6" s="115"/>
      <c r="L6" s="116"/>
      <c r="M6" s="115"/>
      <c r="N6" s="115"/>
      <c r="O6" s="115"/>
      <c r="P6" s="91"/>
      <c r="Q6" s="116"/>
      <c r="R6" s="115"/>
      <c r="S6" s="115"/>
      <c r="T6" s="31"/>
      <c r="U6" s="31"/>
      <c r="V6" s="31"/>
      <c r="W6" s="31"/>
      <c r="X6" s="31"/>
      <c r="Y6" s="31"/>
      <c r="Z6" s="31"/>
      <c r="AA6" s="31"/>
      <c r="AB6" s="31"/>
      <c r="AC6" s="31"/>
      <c r="AD6" s="24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2:53" s="3" customFormat="1" ht="15.75" customHeight="1" thickBot="1" x14ac:dyDescent="0.3">
      <c r="B7" s="53" t="s">
        <v>11</v>
      </c>
      <c r="C7" s="54">
        <f>+'DETALLE FEBRERO '!B7</f>
        <v>43769</v>
      </c>
      <c r="D7" s="31"/>
      <c r="F7" s="31"/>
      <c r="G7" s="31"/>
      <c r="H7" s="31"/>
      <c r="I7" s="31"/>
      <c r="J7" s="31"/>
      <c r="K7" s="115"/>
      <c r="L7" s="116"/>
      <c r="M7" s="115"/>
      <c r="N7" s="115"/>
      <c r="O7" s="115"/>
      <c r="P7" s="91"/>
      <c r="Q7" s="116"/>
      <c r="R7" s="115"/>
      <c r="S7" s="115"/>
      <c r="T7" s="31"/>
      <c r="U7" s="31"/>
      <c r="V7" s="31"/>
      <c r="W7" s="31"/>
      <c r="X7" s="31"/>
      <c r="Y7" s="31"/>
      <c r="Z7" s="31"/>
      <c r="AA7" s="31"/>
      <c r="AB7" s="31"/>
      <c r="AC7" s="31"/>
      <c r="AD7" s="24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2:53" s="3" customFormat="1" ht="15.75" customHeight="1" x14ac:dyDescent="0.25">
      <c r="B8" s="55" t="s">
        <v>65</v>
      </c>
      <c r="C8" s="56">
        <f>+'DETALLE FEBRERO '!B9</f>
        <v>5061050262</v>
      </c>
      <c r="D8" s="175"/>
      <c r="E8" s="273" t="s">
        <v>64</v>
      </c>
      <c r="F8" s="274"/>
      <c r="G8" s="77" t="s">
        <v>78</v>
      </c>
      <c r="H8" s="78" t="s">
        <v>77</v>
      </c>
      <c r="I8" s="79" t="s">
        <v>92</v>
      </c>
      <c r="J8" s="31"/>
      <c r="K8" s="115"/>
      <c r="L8" s="116"/>
      <c r="M8" s="115"/>
      <c r="N8" s="115"/>
      <c r="O8" s="115"/>
      <c r="P8" s="91"/>
      <c r="Q8" s="116"/>
      <c r="R8" s="115"/>
      <c r="S8" s="115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53" s="3" customFormat="1" ht="15.75" customHeight="1" x14ac:dyDescent="0.25">
      <c r="B9" s="51" t="s">
        <v>66</v>
      </c>
      <c r="C9" s="57">
        <f>+'DETALLE FEBRERO '!B10</f>
        <v>252150000</v>
      </c>
      <c r="D9" s="43"/>
      <c r="E9" s="269" t="s">
        <v>148</v>
      </c>
      <c r="F9" s="270"/>
      <c r="G9" s="73">
        <v>784462791</v>
      </c>
      <c r="H9" s="74">
        <v>1870</v>
      </c>
      <c r="I9" s="90">
        <v>43461</v>
      </c>
      <c r="J9" s="43"/>
      <c r="K9" s="115"/>
      <c r="L9" s="116"/>
      <c r="M9" s="115"/>
      <c r="N9" s="115"/>
      <c r="O9" s="115"/>
      <c r="P9" s="91"/>
      <c r="Q9" s="116"/>
      <c r="R9" s="115"/>
      <c r="S9" s="115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2:53" s="3" customFormat="1" ht="15.75" customHeight="1" x14ac:dyDescent="0.25">
      <c r="B10" s="51" t="s">
        <v>54</v>
      </c>
      <c r="C10" s="58">
        <v>0</v>
      </c>
      <c r="D10" s="31"/>
      <c r="E10" s="271" t="s">
        <v>149</v>
      </c>
      <c r="F10" s="272"/>
      <c r="G10" s="44"/>
      <c r="H10" s="45"/>
      <c r="I10" s="167"/>
      <c r="J10" s="31"/>
      <c r="K10" s="115"/>
      <c r="L10" s="116"/>
      <c r="M10" s="115"/>
      <c r="N10" s="115"/>
      <c r="O10" s="115"/>
      <c r="P10" s="91"/>
      <c r="Q10" s="116"/>
      <c r="R10" s="115"/>
      <c r="S10" s="115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2:53" s="3" customFormat="1" ht="15.75" customHeight="1" x14ac:dyDescent="0.25">
      <c r="B11" s="59" t="s">
        <v>55</v>
      </c>
      <c r="C11" s="60">
        <f>+C8+C9+C10</f>
        <v>5313200262</v>
      </c>
      <c r="D11" s="43"/>
      <c r="E11" s="271" t="s">
        <v>150</v>
      </c>
      <c r="F11" s="272"/>
      <c r="G11" s="44"/>
      <c r="H11" s="45"/>
      <c r="I11" s="66"/>
      <c r="J11" s="31"/>
      <c r="K11" s="115"/>
      <c r="L11" s="116"/>
      <c r="M11" s="115"/>
      <c r="N11" s="115"/>
      <c r="O11" s="115"/>
      <c r="P11" s="91"/>
      <c r="Q11" s="116"/>
      <c r="R11" s="115"/>
      <c r="S11" s="115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2:53" s="3" customFormat="1" ht="15.75" customHeight="1" thickBot="1" x14ac:dyDescent="0.3">
      <c r="B12" s="51" t="s">
        <v>68</v>
      </c>
      <c r="C12" s="57">
        <f>+'DETALLE FEBRERO '!B13</f>
        <v>549603455</v>
      </c>
      <c r="D12" s="43"/>
      <c r="E12" s="277"/>
      <c r="F12" s="278"/>
      <c r="G12" s="70"/>
      <c r="H12" s="71"/>
      <c r="I12" s="72"/>
      <c r="J12" s="31"/>
      <c r="K12" s="115"/>
      <c r="L12" s="116"/>
      <c r="M12" s="115"/>
      <c r="N12" s="115"/>
      <c r="O12" s="115"/>
      <c r="P12" s="91"/>
      <c r="Q12" s="116"/>
      <c r="R12" s="115"/>
      <c r="S12" s="115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2:53" s="3" customFormat="1" ht="15.75" customHeight="1" x14ac:dyDescent="0.25">
      <c r="B13" s="51" t="s">
        <v>69</v>
      </c>
      <c r="C13" s="57">
        <f>+'DETALLE FEBRERO '!B14</f>
        <v>841486313</v>
      </c>
      <c r="D13" s="43"/>
      <c r="E13" s="275" t="s">
        <v>73</v>
      </c>
      <c r="F13" s="276"/>
      <c r="G13" s="75" t="s">
        <v>78</v>
      </c>
      <c r="H13" s="76" t="s">
        <v>77</v>
      </c>
      <c r="I13" s="79" t="s">
        <v>92</v>
      </c>
      <c r="J13" s="43"/>
      <c r="K13" s="115"/>
      <c r="L13" s="116"/>
      <c r="M13" s="115"/>
      <c r="N13" s="115"/>
      <c r="O13" s="115"/>
      <c r="P13" s="91"/>
      <c r="Q13" s="116"/>
      <c r="R13" s="115"/>
      <c r="S13" s="115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2:53" s="3" customFormat="1" ht="15.75" customHeight="1" x14ac:dyDescent="0.25">
      <c r="B14" s="51" t="s">
        <v>56</v>
      </c>
      <c r="C14" s="58">
        <v>0</v>
      </c>
      <c r="D14" s="43"/>
      <c r="E14" s="269" t="s">
        <v>151</v>
      </c>
      <c r="F14" s="270"/>
      <c r="G14" s="73">
        <v>274801727</v>
      </c>
      <c r="H14" s="74">
        <v>1869</v>
      </c>
      <c r="I14" s="90">
        <v>43461</v>
      </c>
      <c r="J14" s="31"/>
      <c r="K14" s="115"/>
      <c r="L14" s="116"/>
      <c r="M14" s="115"/>
      <c r="N14" s="115"/>
      <c r="O14" s="115"/>
      <c r="P14" s="91"/>
      <c r="Q14" s="116"/>
      <c r="R14" s="115"/>
      <c r="S14" s="115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2:53" s="3" customFormat="1" ht="15.75" customHeight="1" x14ac:dyDescent="0.25">
      <c r="B15" s="59" t="s">
        <v>57</v>
      </c>
      <c r="C15" s="60">
        <f>+C12+C13+C14</f>
        <v>1391089768</v>
      </c>
      <c r="D15" s="43"/>
      <c r="E15" s="271" t="s">
        <v>152</v>
      </c>
      <c r="F15" s="272"/>
      <c r="G15" s="44"/>
      <c r="H15" s="45"/>
      <c r="I15" s="167"/>
      <c r="J15" s="31"/>
      <c r="K15" s="115"/>
      <c r="L15" s="116"/>
      <c r="M15" s="115"/>
      <c r="N15" s="115"/>
      <c r="O15" s="115"/>
      <c r="P15" s="91"/>
      <c r="Q15" s="116"/>
      <c r="R15" s="115"/>
      <c r="S15" s="115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2:53" s="3" customFormat="1" ht="15.75" customHeight="1" x14ac:dyDescent="0.25">
      <c r="B16" s="51" t="s">
        <v>70</v>
      </c>
      <c r="C16" s="57">
        <f>+'DETALLE FEBRERO '!B17</f>
        <v>87410000</v>
      </c>
      <c r="D16" s="43"/>
      <c r="E16" s="271" t="s">
        <v>150</v>
      </c>
      <c r="F16" s="272"/>
      <c r="G16" s="44"/>
      <c r="H16" s="44"/>
      <c r="I16" s="66"/>
      <c r="J16" s="31"/>
      <c r="K16" s="115"/>
      <c r="L16" s="116"/>
      <c r="M16" s="115"/>
      <c r="N16" s="115"/>
      <c r="O16" s="115"/>
      <c r="P16" s="91"/>
      <c r="Q16" s="116"/>
      <c r="R16" s="115"/>
      <c r="S16" s="115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2:53" s="3" customFormat="1" ht="15.75" customHeight="1" thickBot="1" x14ac:dyDescent="0.3">
      <c r="B17" s="51" t="s">
        <v>71</v>
      </c>
      <c r="C17" s="57">
        <f>+'DETALLE FEBRERO '!B18</f>
        <v>2750081597</v>
      </c>
      <c r="D17" s="43"/>
      <c r="E17" s="279"/>
      <c r="F17" s="280"/>
      <c r="G17" s="67"/>
      <c r="H17" s="68"/>
      <c r="I17" s="69"/>
      <c r="J17" s="43"/>
      <c r="K17" s="115"/>
      <c r="L17" s="116"/>
      <c r="M17" s="115"/>
      <c r="N17" s="115"/>
      <c r="O17" s="115"/>
      <c r="P17" s="91"/>
      <c r="Q17" s="116"/>
      <c r="R17" s="115"/>
      <c r="S17" s="115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2:53" s="3" customFormat="1" ht="15.75" customHeight="1" x14ac:dyDescent="0.25">
      <c r="B18" s="51" t="s">
        <v>58</v>
      </c>
      <c r="C18" s="58">
        <v>0</v>
      </c>
      <c r="D18" s="43"/>
      <c r="E18" s="31"/>
      <c r="F18" s="31"/>
      <c r="G18" s="31"/>
      <c r="H18" s="31"/>
      <c r="I18" s="31"/>
      <c r="J18" s="31"/>
      <c r="K18" s="115"/>
      <c r="L18" s="116"/>
      <c r="M18" s="115"/>
      <c r="N18" s="115"/>
      <c r="O18" s="115"/>
      <c r="P18" s="91"/>
      <c r="Q18" s="116"/>
      <c r="R18" s="115"/>
      <c r="S18" s="115"/>
      <c r="T18" s="31"/>
      <c r="U18" s="31"/>
      <c r="V18" s="31"/>
      <c r="W18" s="43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2:53" s="3" customFormat="1" ht="15.75" customHeight="1" x14ac:dyDescent="0.25">
      <c r="B19" s="61" t="s">
        <v>59</v>
      </c>
      <c r="C19" s="62">
        <f>+C16+C17+C18</f>
        <v>2837491597</v>
      </c>
      <c r="D19" s="43"/>
      <c r="E19" s="31"/>
      <c r="F19" s="31"/>
      <c r="G19" s="31"/>
      <c r="H19" s="31"/>
      <c r="I19" s="31"/>
      <c r="J19" s="31"/>
      <c r="K19" s="115"/>
      <c r="L19" s="116"/>
      <c r="M19" s="115"/>
      <c r="N19" s="115"/>
      <c r="O19" s="115"/>
      <c r="P19" s="91"/>
      <c r="Q19" s="116"/>
      <c r="R19" s="115"/>
      <c r="S19" s="115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2:53" s="3" customFormat="1" ht="15.75" customHeight="1" thickBot="1" x14ac:dyDescent="0.3">
      <c r="B20" s="63" t="s">
        <v>60</v>
      </c>
      <c r="C20" s="162">
        <f>+C11+C15+C19</f>
        <v>9541781627</v>
      </c>
      <c r="D20" s="43"/>
      <c r="E20" s="31"/>
      <c r="F20" s="31"/>
      <c r="G20" s="31"/>
      <c r="H20" s="31"/>
      <c r="I20" s="31"/>
      <c r="J20" s="31"/>
      <c r="K20" s="115"/>
      <c r="L20" s="116"/>
      <c r="M20" s="115"/>
      <c r="N20" s="115"/>
      <c r="O20" s="115"/>
      <c r="P20" s="91"/>
      <c r="Q20" s="116"/>
      <c r="R20" s="115"/>
      <c r="S20" s="115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2:53" s="3" customFormat="1" ht="15.75" customHeight="1" thickBot="1" x14ac:dyDescent="0.3">
      <c r="B21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</row>
    <row r="22" spans="2:53" ht="15.75" customHeight="1" thickBot="1" x14ac:dyDescent="0.3">
      <c r="B22" s="263" t="s">
        <v>4</v>
      </c>
      <c r="C22" s="266" t="s">
        <v>202</v>
      </c>
      <c r="D22" s="267"/>
      <c r="E22" s="267"/>
      <c r="F22" s="267"/>
      <c r="G22" s="267"/>
      <c r="H22" s="267"/>
      <c r="I22" s="268"/>
      <c r="J22" s="5"/>
    </row>
    <row r="23" spans="2:53" ht="38.25" x14ac:dyDescent="0.25">
      <c r="B23" s="264"/>
      <c r="C23" s="40" t="s">
        <v>40</v>
      </c>
      <c r="D23" s="122" t="s">
        <v>41</v>
      </c>
      <c r="E23" s="127" t="s">
        <v>6</v>
      </c>
      <c r="F23" s="128" t="s">
        <v>8</v>
      </c>
      <c r="G23" s="128" t="s">
        <v>9</v>
      </c>
      <c r="H23" s="128" t="s">
        <v>104</v>
      </c>
      <c r="I23" s="129" t="s">
        <v>114</v>
      </c>
      <c r="J23" s="152"/>
    </row>
    <row r="24" spans="2:53" x14ac:dyDescent="0.25">
      <c r="B24" s="130" t="s">
        <v>106</v>
      </c>
      <c r="C24" s="151"/>
      <c r="D24" s="132"/>
      <c r="E24" s="133"/>
      <c r="F24" s="133"/>
      <c r="G24" s="134"/>
      <c r="H24" s="134"/>
      <c r="I24" s="158"/>
      <c r="J24" s="153"/>
    </row>
    <row r="25" spans="2:53" x14ac:dyDescent="0.25">
      <c r="B25" s="41" t="s">
        <v>31</v>
      </c>
      <c r="C25" s="135">
        <f>+'DETALLE FEBRERO '!E96</f>
        <v>892145000</v>
      </c>
      <c r="D25" s="135">
        <v>0</v>
      </c>
      <c r="E25" s="135">
        <f t="shared" ref="E25:E30" si="0">C25+D25</f>
        <v>892145000</v>
      </c>
      <c r="F25" s="135">
        <f>+'DETALLE FEBRERO '!O96</f>
        <v>553556000</v>
      </c>
      <c r="G25" s="136">
        <f t="shared" ref="G25:G30" si="1">E25-F25</f>
        <v>338589000</v>
      </c>
      <c r="H25" s="136">
        <f>+'DETALLE FEBRERO '!Z96</f>
        <v>90582850.25</v>
      </c>
      <c r="I25" s="148">
        <f t="shared" ref="I25:I30" si="2">+F25-H25</f>
        <v>462973149.75</v>
      </c>
      <c r="J25" s="154"/>
    </row>
    <row r="26" spans="2:53" x14ac:dyDescent="0.25">
      <c r="B26" s="41" t="s">
        <v>62</v>
      </c>
      <c r="C26" s="135">
        <f>+'DETALLE FEBRERO '!E28</f>
        <v>2710800000</v>
      </c>
      <c r="D26" s="135">
        <v>0</v>
      </c>
      <c r="E26" s="135">
        <f t="shared" si="0"/>
        <v>2710800000</v>
      </c>
      <c r="F26" s="135">
        <f>+'DETALLE FEBRERO '!O27</f>
        <v>182002800</v>
      </c>
      <c r="G26" s="136">
        <f t="shared" si="1"/>
        <v>2528797200</v>
      </c>
      <c r="H26" s="136">
        <f>+'DETALLE FEBRERO '!Z28</f>
        <v>182002800</v>
      </c>
      <c r="I26" s="148">
        <f t="shared" si="2"/>
        <v>0</v>
      </c>
      <c r="J26" s="154"/>
    </row>
    <row r="27" spans="2:53" x14ac:dyDescent="0.25">
      <c r="B27" s="41" t="s">
        <v>63</v>
      </c>
      <c r="C27" s="135">
        <f>+'DETALLE FEBRERO '!E118</f>
        <v>417613251.13199997</v>
      </c>
      <c r="D27" s="135">
        <f>+'DETALLE FEBRERO '!F118</f>
        <v>252150000</v>
      </c>
      <c r="E27" s="135">
        <f t="shared" si="0"/>
        <v>669763251.13199997</v>
      </c>
      <c r="F27" s="135">
        <f>+'DETALLE FEBRERO '!O118</f>
        <v>175754000</v>
      </c>
      <c r="G27" s="136">
        <f t="shared" si="1"/>
        <v>494009251.13199997</v>
      </c>
      <c r="H27" s="136">
        <f>+'DETALLE FEBRERO '!Z118</f>
        <v>72511550.400000006</v>
      </c>
      <c r="I27" s="148">
        <f t="shared" si="2"/>
        <v>103242449.59999999</v>
      </c>
      <c r="J27" s="154"/>
    </row>
    <row r="28" spans="2:53" x14ac:dyDescent="0.25">
      <c r="B28" s="41" t="s">
        <v>27</v>
      </c>
      <c r="C28" s="135">
        <f>+'DETALLE FEBRERO '!E122</f>
        <v>924523896</v>
      </c>
      <c r="D28" s="135">
        <v>0</v>
      </c>
      <c r="E28" s="135">
        <f t="shared" si="0"/>
        <v>924523896</v>
      </c>
      <c r="F28" s="135">
        <f>+'DETALLE FEBRERO '!O122</f>
        <v>776523896</v>
      </c>
      <c r="G28" s="136">
        <f t="shared" si="1"/>
        <v>148000000</v>
      </c>
      <c r="H28" s="136">
        <f>+'DETALLE FEBRERO '!Z122</f>
        <v>71968141.819999993</v>
      </c>
      <c r="I28" s="148">
        <f t="shared" si="2"/>
        <v>704555754.18000007</v>
      </c>
      <c r="J28" s="154"/>
    </row>
    <row r="29" spans="2:53" x14ac:dyDescent="0.25">
      <c r="B29" s="41" t="s">
        <v>23</v>
      </c>
      <c r="C29" s="135">
        <f>+'DETALLE FEBRERO '!E125</f>
        <v>80348000</v>
      </c>
      <c r="D29" s="135">
        <v>0</v>
      </c>
      <c r="E29" s="135">
        <f t="shared" si="0"/>
        <v>80348000</v>
      </c>
      <c r="F29" s="135">
        <f>+'DETALLE FEBRERO '!O125</f>
        <v>80348000</v>
      </c>
      <c r="G29" s="136">
        <f t="shared" si="1"/>
        <v>0</v>
      </c>
      <c r="H29" s="136">
        <f>+'DETALLE FEBRERO '!Z125</f>
        <v>0</v>
      </c>
      <c r="I29" s="148">
        <f t="shared" si="2"/>
        <v>80348000</v>
      </c>
      <c r="J29" s="154"/>
    </row>
    <row r="30" spans="2:53" ht="15.75" thickBot="1" x14ac:dyDescent="0.3">
      <c r="B30" s="42" t="s">
        <v>15</v>
      </c>
      <c r="C30" s="135">
        <f>+'DETALLE FEBRERO '!E128+'DETALLE FEBRERO '!E201</f>
        <v>35620115</v>
      </c>
      <c r="D30" s="135">
        <v>0</v>
      </c>
      <c r="E30" s="135">
        <f t="shared" si="0"/>
        <v>35620115</v>
      </c>
      <c r="F30" s="135">
        <f>+'DETALLE FEBRERO '!O128</f>
        <v>3753081.1639999999</v>
      </c>
      <c r="G30" s="136">
        <f t="shared" si="1"/>
        <v>31867033.835999999</v>
      </c>
      <c r="H30" s="136">
        <f>+'DETALLE FEBRERO '!Z128</f>
        <v>3753081.1639999999</v>
      </c>
      <c r="I30" s="148">
        <f t="shared" si="2"/>
        <v>0</v>
      </c>
      <c r="J30" s="154"/>
    </row>
    <row r="31" spans="2:53" ht="16.5" thickTop="1" thickBot="1" x14ac:dyDescent="0.3">
      <c r="B31" s="137" t="s">
        <v>107</v>
      </c>
      <c r="C31" s="138">
        <f t="shared" ref="C31:G31" si="3">SUM(C25:C30)</f>
        <v>5061050262.132</v>
      </c>
      <c r="D31" s="138">
        <f>SUM(D25:D30)</f>
        <v>252150000</v>
      </c>
      <c r="E31" s="138">
        <f t="shared" si="3"/>
        <v>5313200262.132</v>
      </c>
      <c r="F31" s="138">
        <f t="shared" si="3"/>
        <v>1771937777.164</v>
      </c>
      <c r="G31" s="139">
        <f t="shared" si="3"/>
        <v>3541262484.9679999</v>
      </c>
      <c r="H31" s="139">
        <f>SUM(H25:H30)</f>
        <v>420818423.63399994</v>
      </c>
      <c r="I31" s="159">
        <f>SUM(I25:I30)</f>
        <v>1351119353.5300002</v>
      </c>
      <c r="J31" s="155"/>
      <c r="K31" s="13"/>
    </row>
    <row r="32" spans="2:53" ht="15.75" thickTop="1" x14ac:dyDescent="0.25">
      <c r="B32" s="140"/>
      <c r="C32" s="141"/>
      <c r="D32" s="142"/>
      <c r="E32" s="142"/>
      <c r="F32" s="142"/>
      <c r="G32" s="143"/>
      <c r="H32" s="143"/>
      <c r="I32" s="160"/>
      <c r="J32" s="154"/>
    </row>
    <row r="33" spans="2:12" x14ac:dyDescent="0.25">
      <c r="B33" s="130" t="s">
        <v>108</v>
      </c>
      <c r="C33" s="151"/>
      <c r="D33" s="132"/>
      <c r="E33" s="133"/>
      <c r="F33" s="133"/>
      <c r="G33" s="134"/>
      <c r="H33" s="134"/>
      <c r="I33" s="158"/>
      <c r="J33" s="154"/>
    </row>
    <row r="34" spans="2:12" x14ac:dyDescent="0.25">
      <c r="B34" s="41" t="s">
        <v>31</v>
      </c>
      <c r="C34" s="135">
        <f>+'DETALLE FEBRERO '!H162</f>
        <v>140695000</v>
      </c>
      <c r="D34" s="135">
        <f>+'DETALLE FEBRERO '!I162</f>
        <v>0</v>
      </c>
      <c r="E34" s="135">
        <f t="shared" ref="E34:E39" si="4">C34+D34</f>
        <v>140695000</v>
      </c>
      <c r="F34" s="135">
        <f>+'DETALLE FEBRERO '!O162</f>
        <v>100444000</v>
      </c>
      <c r="G34" s="136">
        <f t="shared" ref="G34:G39" si="5">E34-F34</f>
        <v>40251000</v>
      </c>
      <c r="H34" s="136">
        <f>+'DETALLE FEBRERO '!Z162</f>
        <v>19125316.75</v>
      </c>
      <c r="I34" s="148">
        <f t="shared" ref="I34:I39" si="6">+F34-H34</f>
        <v>81318683.25</v>
      </c>
      <c r="J34" s="154"/>
    </row>
    <row r="35" spans="2:12" x14ac:dyDescent="0.25">
      <c r="B35" s="41" t="s">
        <v>62</v>
      </c>
      <c r="C35" s="135">
        <f>+'DETALLE FEBRERO '!H132</f>
        <v>176400000</v>
      </c>
      <c r="D35" s="135">
        <f>+'DETALLE FEBRERO '!I132</f>
        <v>0</v>
      </c>
      <c r="E35" s="135">
        <f t="shared" si="4"/>
        <v>176400000</v>
      </c>
      <c r="F35" s="135">
        <f>+'DETALLE FEBRERO '!O132</f>
        <v>11617200</v>
      </c>
      <c r="G35" s="136">
        <f t="shared" si="5"/>
        <v>164782800</v>
      </c>
      <c r="H35" s="136">
        <f>+'DETALLE FEBRERO '!Z132</f>
        <v>11617200</v>
      </c>
      <c r="I35" s="148">
        <f t="shared" si="6"/>
        <v>0</v>
      </c>
      <c r="J35" s="154"/>
    </row>
    <row r="36" spans="2:12" x14ac:dyDescent="0.25">
      <c r="B36" s="41" t="s">
        <v>63</v>
      </c>
      <c r="C36" s="135">
        <f>+'DETALLE FEBRERO '!H174</f>
        <v>184337500</v>
      </c>
      <c r="D36" s="135">
        <f>+'DETALLE FEBRERO '!I174</f>
        <v>691486313</v>
      </c>
      <c r="E36" s="135">
        <f t="shared" si="4"/>
        <v>875823813</v>
      </c>
      <c r="F36" s="135">
        <f>+'DETALLE FEBRERO '!O174</f>
        <v>195189768</v>
      </c>
      <c r="G36" s="136">
        <f t="shared" si="5"/>
        <v>680634045</v>
      </c>
      <c r="H36" s="136">
        <f>+'DETALLE FEBRERO '!Z174</f>
        <v>178651037.59999999</v>
      </c>
      <c r="I36" s="148">
        <f t="shared" si="6"/>
        <v>16538730.400000006</v>
      </c>
      <c r="J36" s="154"/>
    </row>
    <row r="37" spans="2:12" x14ac:dyDescent="0.25">
      <c r="B37" s="41" t="s">
        <v>27</v>
      </c>
      <c r="C37" s="135">
        <f>+'DETALLE FEBRERO '!H180</f>
        <v>47313455</v>
      </c>
      <c r="D37" s="135">
        <f>+'DETALLE FEBRERO '!I180</f>
        <v>150000000</v>
      </c>
      <c r="E37" s="135">
        <f t="shared" si="4"/>
        <v>197313455</v>
      </c>
      <c r="F37" s="135">
        <f>+'DETALLE FEBRERO '!O180</f>
        <v>150313455</v>
      </c>
      <c r="G37" s="136">
        <f t="shared" si="5"/>
        <v>47000000</v>
      </c>
      <c r="H37" s="136">
        <f>+'DETALLE FEBRERO '!Z180</f>
        <v>8913711.1799999997</v>
      </c>
      <c r="I37" s="148">
        <f t="shared" si="6"/>
        <v>141399743.81999999</v>
      </c>
      <c r="J37" s="154"/>
    </row>
    <row r="38" spans="2:12" x14ac:dyDescent="0.25">
      <c r="B38" s="41" t="s">
        <v>23</v>
      </c>
      <c r="C38" s="135">
        <v>0</v>
      </c>
      <c r="D38" s="135">
        <v>0</v>
      </c>
      <c r="E38" s="135">
        <f t="shared" si="4"/>
        <v>0</v>
      </c>
      <c r="F38" s="135">
        <v>0</v>
      </c>
      <c r="G38" s="136">
        <f t="shared" si="5"/>
        <v>0</v>
      </c>
      <c r="H38" s="136">
        <v>0</v>
      </c>
      <c r="I38" s="148">
        <f t="shared" si="6"/>
        <v>0</v>
      </c>
      <c r="J38" s="154"/>
    </row>
    <row r="39" spans="2:12" ht="15.75" thickBot="1" x14ac:dyDescent="0.3">
      <c r="B39" s="42" t="s">
        <v>15</v>
      </c>
      <c r="C39" s="135">
        <f>+'DETALLE FEBRERO '!H182</f>
        <v>857500</v>
      </c>
      <c r="D39" s="135">
        <f>+'DETALLE FEBRERO '!I182</f>
        <v>0</v>
      </c>
      <c r="E39" s="135">
        <f t="shared" si="4"/>
        <v>857500</v>
      </c>
      <c r="F39" s="135">
        <f>+'DETALLE FEBRERO '!O182</f>
        <v>39270</v>
      </c>
      <c r="G39" s="136">
        <f t="shared" si="5"/>
        <v>818230</v>
      </c>
      <c r="H39" s="136">
        <f>+'DETALLE FEBRERO '!Z182</f>
        <v>39270</v>
      </c>
      <c r="I39" s="148">
        <f t="shared" si="6"/>
        <v>0</v>
      </c>
      <c r="J39" s="154"/>
    </row>
    <row r="40" spans="2:12" ht="16.5" thickTop="1" thickBot="1" x14ac:dyDescent="0.3">
      <c r="B40" s="137" t="s">
        <v>109</v>
      </c>
      <c r="C40" s="138">
        <f>SUM(C34:C39)</f>
        <v>549603455</v>
      </c>
      <c r="D40" s="138">
        <f>SUM(D34:D39)</f>
        <v>841486313</v>
      </c>
      <c r="E40" s="138">
        <f t="shared" ref="E40:I40" si="7">SUM(E34:E39)</f>
        <v>1391089768</v>
      </c>
      <c r="F40" s="138">
        <f t="shared" si="7"/>
        <v>457603693</v>
      </c>
      <c r="G40" s="139">
        <f t="shared" si="7"/>
        <v>933486075</v>
      </c>
      <c r="H40" s="139">
        <f t="shared" si="7"/>
        <v>218346535.53</v>
      </c>
      <c r="I40" s="159">
        <f t="shared" si="7"/>
        <v>239257157.47</v>
      </c>
      <c r="J40" s="154"/>
      <c r="L40" s="13"/>
    </row>
    <row r="41" spans="2:12" ht="15.75" thickTop="1" x14ac:dyDescent="0.25">
      <c r="B41" s="140"/>
      <c r="C41" s="141"/>
      <c r="D41" s="142"/>
      <c r="E41" s="142"/>
      <c r="F41" s="142"/>
      <c r="G41" s="143"/>
      <c r="H41" s="143"/>
      <c r="I41" s="160"/>
      <c r="J41" s="154"/>
    </row>
    <row r="42" spans="2:12" x14ac:dyDescent="0.25">
      <c r="B42" s="144" t="s">
        <v>105</v>
      </c>
      <c r="C42" s="131"/>
      <c r="D42" s="145"/>
      <c r="E42" s="146"/>
      <c r="F42" s="146"/>
      <c r="G42" s="147"/>
      <c r="H42" s="147"/>
      <c r="I42" s="161"/>
      <c r="J42" s="153"/>
    </row>
    <row r="43" spans="2:12" x14ac:dyDescent="0.25">
      <c r="B43" s="41" t="s">
        <v>31</v>
      </c>
      <c r="C43" s="135">
        <f>+'DETALLE FEBRERO '!K185</f>
        <v>81810000</v>
      </c>
      <c r="D43" s="135">
        <f>+'DETALLE FEBRERO '!L185</f>
        <v>0</v>
      </c>
      <c r="E43" s="135">
        <f t="shared" ref="E43:E48" si="8">C43+D43</f>
        <v>81810000</v>
      </c>
      <c r="F43" s="135">
        <f>+'DETALLE FEBRERO '!O185</f>
        <v>27270000</v>
      </c>
      <c r="G43" s="136">
        <f t="shared" ref="G43:G48" si="9">E43-F43</f>
        <v>54540000</v>
      </c>
      <c r="H43" s="136">
        <f>+'DETALLE FEBRERO '!Z185</f>
        <v>1616000</v>
      </c>
      <c r="I43" s="148">
        <f t="shared" ref="I43:I48" si="10">+F43-H43</f>
        <v>25654000</v>
      </c>
      <c r="J43" s="154"/>
    </row>
    <row r="44" spans="2:12" x14ac:dyDescent="0.25">
      <c r="B44" s="41" t="s">
        <v>62</v>
      </c>
      <c r="C44" s="135">
        <v>0</v>
      </c>
      <c r="D44" s="135">
        <v>0</v>
      </c>
      <c r="E44" s="135">
        <f t="shared" si="8"/>
        <v>0</v>
      </c>
      <c r="F44" s="135">
        <v>0</v>
      </c>
      <c r="G44" s="136">
        <f t="shared" si="9"/>
        <v>0</v>
      </c>
      <c r="H44" s="136">
        <v>0</v>
      </c>
      <c r="I44" s="148">
        <f t="shared" si="10"/>
        <v>0</v>
      </c>
      <c r="J44" s="154"/>
    </row>
    <row r="45" spans="2:12" x14ac:dyDescent="0.25">
      <c r="B45" s="41" t="s">
        <v>63</v>
      </c>
      <c r="C45" s="135">
        <f>+'DETALLE FEBRERO '!K196</f>
        <v>0</v>
      </c>
      <c r="D45" s="135">
        <f>+'DETALLE FEBRERO '!L196</f>
        <v>2900000</v>
      </c>
      <c r="E45" s="135">
        <f t="shared" si="8"/>
        <v>2900000</v>
      </c>
      <c r="F45" s="135">
        <f>+'DETALLE FEBRERO '!O196</f>
        <v>0</v>
      </c>
      <c r="G45" s="136">
        <f t="shared" si="9"/>
        <v>2900000</v>
      </c>
      <c r="H45" s="136">
        <v>0</v>
      </c>
      <c r="I45" s="148">
        <f t="shared" si="10"/>
        <v>0</v>
      </c>
      <c r="J45" s="154"/>
    </row>
    <row r="46" spans="2:12" x14ac:dyDescent="0.25">
      <c r="B46" s="41" t="s">
        <v>27</v>
      </c>
      <c r="C46" s="135">
        <v>0</v>
      </c>
      <c r="D46" s="135">
        <v>0</v>
      </c>
      <c r="E46" s="135">
        <f t="shared" si="8"/>
        <v>0</v>
      </c>
      <c r="F46" s="135">
        <v>0</v>
      </c>
      <c r="G46" s="136">
        <f t="shared" si="9"/>
        <v>0</v>
      </c>
      <c r="H46" s="136">
        <v>0</v>
      </c>
      <c r="I46" s="148">
        <f t="shared" si="10"/>
        <v>0</v>
      </c>
      <c r="J46" s="154"/>
    </row>
    <row r="47" spans="2:12" x14ac:dyDescent="0.25">
      <c r="B47" s="41" t="s">
        <v>23</v>
      </c>
      <c r="C47" s="135">
        <f>+'DETALLE FEBRERO '!I198</f>
        <v>0</v>
      </c>
      <c r="D47" s="135">
        <f>+'DETALLE FEBRERO '!L198</f>
        <v>34000000</v>
      </c>
      <c r="E47" s="135">
        <f t="shared" si="8"/>
        <v>34000000</v>
      </c>
      <c r="F47" s="135">
        <f>+'DETALLE FEBRERO '!O198</f>
        <v>0</v>
      </c>
      <c r="G47" s="136">
        <f t="shared" si="9"/>
        <v>34000000</v>
      </c>
      <c r="H47" s="136">
        <v>0</v>
      </c>
      <c r="I47" s="148">
        <f t="shared" si="10"/>
        <v>0</v>
      </c>
      <c r="J47" s="154"/>
    </row>
    <row r="48" spans="2:12" ht="15.75" thickBot="1" x14ac:dyDescent="0.3">
      <c r="B48" s="42" t="s">
        <v>15</v>
      </c>
      <c r="C48" s="135">
        <f>+'DETALLE FEBRERO '!K199</f>
        <v>5600000</v>
      </c>
      <c r="D48" s="135">
        <f>+'DETALLE FEBRERO '!L190+'DETALLE FEBRERO '!L192+'DETALLE FEBRERO '!L194</f>
        <v>2713181597</v>
      </c>
      <c r="E48" s="135">
        <f t="shared" si="8"/>
        <v>2718781597</v>
      </c>
      <c r="F48" s="135">
        <f>+'DETALLE FEBRERO '!O190+'DETALLE FEBRERO '!O192+'DETALLE FEBRERO '!O194+'DETALLE FEBRERO '!O199</f>
        <v>1052876157</v>
      </c>
      <c r="G48" s="136">
        <f t="shared" si="9"/>
        <v>1665905440</v>
      </c>
      <c r="H48" s="136">
        <f>+'DETALLE FEBRERO '!Z203</f>
        <v>1052876157.0333334</v>
      </c>
      <c r="I48" s="148">
        <f t="shared" si="10"/>
        <v>-3.3333420753479004E-2</v>
      </c>
      <c r="J48" s="154"/>
    </row>
    <row r="49" spans="2:11" ht="16.5" thickTop="1" thickBot="1" x14ac:dyDescent="0.3">
      <c r="B49" s="137" t="s">
        <v>113</v>
      </c>
      <c r="C49" s="138">
        <f>SUM(C43:C48)</f>
        <v>87410000</v>
      </c>
      <c r="D49" s="138">
        <f>SUM(D43:D48)</f>
        <v>2750081597</v>
      </c>
      <c r="E49" s="138">
        <f t="shared" ref="E49" si="11">SUM(E43:E48)</f>
        <v>2837491597</v>
      </c>
      <c r="F49" s="138">
        <f>SUM(F43:F48)</f>
        <v>1080146157</v>
      </c>
      <c r="G49" s="139">
        <f>SUM(G43:G48)</f>
        <v>1757345440</v>
      </c>
      <c r="H49" s="139">
        <f>SUM(H43:H48)</f>
        <v>1054492157.0333334</v>
      </c>
      <c r="I49" s="159">
        <f>SUM(I43:I48)</f>
        <v>25653999.966666579</v>
      </c>
      <c r="J49" s="154"/>
    </row>
    <row r="50" spans="2:11" ht="16.5" thickTop="1" thickBot="1" x14ac:dyDescent="0.3">
      <c r="B50" s="149" t="s">
        <v>2</v>
      </c>
      <c r="C50" s="163">
        <f t="shared" ref="C50:I50" si="12">C31+C40+C49</f>
        <v>5698063717.132</v>
      </c>
      <c r="D50" s="163">
        <f t="shared" si="12"/>
        <v>3843717910</v>
      </c>
      <c r="E50" s="163">
        <f t="shared" si="12"/>
        <v>9541781627.132</v>
      </c>
      <c r="F50" s="163">
        <f t="shared" si="12"/>
        <v>3309687627.164</v>
      </c>
      <c r="G50" s="163">
        <f t="shared" si="12"/>
        <v>6232093999.9680004</v>
      </c>
      <c r="H50" s="163">
        <f t="shared" si="12"/>
        <v>1693657116.1973333</v>
      </c>
      <c r="I50" s="164">
        <f t="shared" si="12"/>
        <v>1616030510.9666667</v>
      </c>
      <c r="J50" s="156"/>
      <c r="K50" s="13"/>
    </row>
    <row r="51" spans="2:11" x14ac:dyDescent="0.25">
      <c r="B51" s="265" t="s">
        <v>13</v>
      </c>
      <c r="C51" s="265"/>
      <c r="D51" s="265"/>
      <c r="E51" s="265"/>
      <c r="F51" s="150">
        <f>F50/$E$50</f>
        <v>0.34686264646352027</v>
      </c>
      <c r="G51" s="150">
        <f>G50/$E$50</f>
        <v>0.65313735353647984</v>
      </c>
      <c r="H51" s="150">
        <f>H50/$E$50</f>
        <v>0.17749904392922064</v>
      </c>
      <c r="I51" s="150">
        <f>I50/$E$50</f>
        <v>0.16936360253429961</v>
      </c>
      <c r="J51" s="157"/>
      <c r="K51" s="13"/>
    </row>
    <row r="52" spans="2:11" x14ac:dyDescent="0.25">
      <c r="B52" t="s">
        <v>17</v>
      </c>
      <c r="F52" t="s">
        <v>16</v>
      </c>
      <c r="K52" s="13">
        <f>+F50+G50-E50</f>
        <v>0</v>
      </c>
    </row>
    <row r="55" spans="2:11" x14ac:dyDescent="0.25">
      <c r="B55" s="11"/>
      <c r="F55" s="11"/>
      <c r="G55" s="11"/>
    </row>
    <row r="56" spans="2:11" x14ac:dyDescent="0.25">
      <c r="B56" s="6" t="s">
        <v>207</v>
      </c>
      <c r="F56" s="6" t="s">
        <v>93</v>
      </c>
    </row>
    <row r="57" spans="2:11" x14ac:dyDescent="0.25">
      <c r="B57" t="s">
        <v>208</v>
      </c>
      <c r="F57" t="s">
        <v>205</v>
      </c>
    </row>
    <row r="58" spans="2:11" x14ac:dyDescent="0.25">
      <c r="B58" t="s">
        <v>209</v>
      </c>
      <c r="F58" t="s">
        <v>206</v>
      </c>
    </row>
    <row r="61" spans="2:11" x14ac:dyDescent="0.25">
      <c r="B61" t="s">
        <v>16</v>
      </c>
      <c r="F61" t="s">
        <v>7</v>
      </c>
      <c r="G61" s="13"/>
    </row>
    <row r="64" spans="2:11" x14ac:dyDescent="0.25">
      <c r="B64" s="11"/>
      <c r="F64" s="11"/>
      <c r="G64" s="11"/>
    </row>
    <row r="65" spans="2:6" x14ac:dyDescent="0.25">
      <c r="B65" s="6" t="s">
        <v>214</v>
      </c>
      <c r="F65" s="6" t="s">
        <v>18</v>
      </c>
    </row>
    <row r="66" spans="2:6" x14ac:dyDescent="0.25">
      <c r="B66" t="s">
        <v>153</v>
      </c>
      <c r="F66" t="s">
        <v>19</v>
      </c>
    </row>
    <row r="67" spans="2:6" x14ac:dyDescent="0.25">
      <c r="B67" t="s">
        <v>215</v>
      </c>
      <c r="F67" t="s">
        <v>112</v>
      </c>
    </row>
  </sheetData>
  <mergeCells count="15">
    <mergeCell ref="B1:I1"/>
    <mergeCell ref="B22:B23"/>
    <mergeCell ref="B51:E51"/>
    <mergeCell ref="C22:I22"/>
    <mergeCell ref="E9:F9"/>
    <mergeCell ref="E10:F10"/>
    <mergeCell ref="E8:F8"/>
    <mergeCell ref="E13:F13"/>
    <mergeCell ref="E14:F14"/>
    <mergeCell ref="E15:F15"/>
    <mergeCell ref="E12:F12"/>
    <mergeCell ref="E11:F11"/>
    <mergeCell ref="E17:F17"/>
    <mergeCell ref="E16:F16"/>
    <mergeCell ref="B3:I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0" orientation="landscape" r:id="rId1"/>
  <colBreaks count="1" manualBreakCount="1">
    <brk id="9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21"/>
  <sheetViews>
    <sheetView tabSelected="1" view="pageBreakPreview" topLeftCell="A24" zoomScale="85" zoomScaleNormal="85" zoomScaleSheetLayoutView="85" workbookViewId="0">
      <pane xSplit="1" ySplit="3" topLeftCell="N27" activePane="bottomRight" state="frozen"/>
      <selection activeCell="A24" sqref="A24"/>
      <selection pane="topRight" activeCell="B24" sqref="B24"/>
      <selection pane="bottomLeft" activeCell="A27" sqref="A27"/>
      <selection pane="bottomRight" activeCell="AA211" sqref="AA211"/>
    </sheetView>
  </sheetViews>
  <sheetFormatPr baseColWidth="10" defaultColWidth="9.140625" defaultRowHeight="15" x14ac:dyDescent="0.25"/>
  <cols>
    <col min="1" max="1" width="74.28515625" customWidth="1"/>
    <col min="2" max="2" width="14.85546875" customWidth="1"/>
    <col min="3" max="3" width="12.85546875" customWidth="1"/>
    <col min="4" max="4" width="14.42578125" customWidth="1"/>
    <col min="5" max="5" width="15.28515625" customWidth="1"/>
    <col min="6" max="6" width="15.42578125" customWidth="1"/>
    <col min="7" max="7" width="13.7109375" hidden="1" customWidth="1"/>
    <col min="8" max="8" width="18" customWidth="1"/>
    <col min="9" max="9" width="17.7109375" customWidth="1"/>
    <col min="10" max="10" width="13.28515625" hidden="1" customWidth="1"/>
    <col min="11" max="11" width="17.42578125" customWidth="1"/>
    <col min="12" max="12" width="17.85546875" customWidth="1"/>
    <col min="13" max="13" width="15.28515625" hidden="1" customWidth="1"/>
    <col min="14" max="14" width="17.42578125" customWidth="1"/>
    <col min="15" max="15" width="16.85546875" style="9" customWidth="1"/>
    <col min="16" max="16" width="15.28515625" style="9" bestFit="1" customWidth="1"/>
    <col min="17" max="19" width="19.5703125" style="10" hidden="1" customWidth="1"/>
    <col min="20" max="20" width="19.5703125" style="10" customWidth="1"/>
    <col min="21" max="22" width="19.5703125" style="10" hidden="1" customWidth="1"/>
    <col min="23" max="23" width="12.42578125" style="10" hidden="1" customWidth="1"/>
    <col min="24" max="24" width="19.5703125" style="10" hidden="1" customWidth="1"/>
    <col min="25" max="25" width="21.140625" style="10" hidden="1" customWidth="1"/>
    <col min="26" max="26" width="15.42578125" style="10" customWidth="1"/>
    <col min="27" max="27" width="18.140625" customWidth="1"/>
    <col min="28" max="28" width="14.85546875" bestFit="1" customWidth="1"/>
    <col min="29" max="29" width="14.140625" bestFit="1" customWidth="1"/>
    <col min="30" max="30" width="14.5703125" bestFit="1" customWidth="1"/>
    <col min="31" max="31" width="13" bestFit="1" customWidth="1"/>
    <col min="32" max="32" width="11" bestFit="1" customWidth="1"/>
  </cols>
  <sheetData>
    <row r="1" spans="1:28" s="3" customFormat="1" ht="40.5" customHeight="1" x14ac:dyDescent="0.25">
      <c r="A1" s="262" t="s">
        <v>115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8" s="3" customFormat="1" ht="15" customHeight="1" x14ac:dyDescent="0.2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spans="1:28" s="3" customForma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185"/>
    </row>
    <row r="4" spans="1:28" s="3" customFormat="1" ht="15.75" thickBot="1" x14ac:dyDescent="0.3">
      <c r="A4" s="281" t="s">
        <v>200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8" s="3" customFormat="1" ht="14.25" customHeight="1" x14ac:dyDescent="0.25">
      <c r="A5" s="80" t="s">
        <v>91</v>
      </c>
      <c r="B5" s="50">
        <v>43524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12"/>
      <c r="AA5" s="185"/>
    </row>
    <row r="6" spans="1:28" s="3" customFormat="1" ht="15" customHeight="1" x14ac:dyDescent="0.25">
      <c r="A6" s="65" t="s">
        <v>10</v>
      </c>
      <c r="B6" s="165">
        <v>43405</v>
      </c>
      <c r="C6"/>
      <c r="D6"/>
      <c r="E6" s="185"/>
      <c r="F6" s="24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1:28" s="3" customFormat="1" ht="15.75" customHeight="1" x14ac:dyDescent="0.25">
      <c r="A7" s="81" t="s">
        <v>11</v>
      </c>
      <c r="B7" s="166">
        <v>43769</v>
      </c>
      <c r="C7"/>
      <c r="D7"/>
      <c r="E7" s="185"/>
      <c r="F7" s="24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28" s="3" customFormat="1" ht="9.75" customHeight="1" x14ac:dyDescent="0.25">
      <c r="A8" s="82"/>
      <c r="B8" s="83"/>
      <c r="C8"/>
      <c r="D8"/>
      <c r="E8" s="185"/>
      <c r="F8" s="24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</row>
    <row r="9" spans="1:28" s="3" customFormat="1" ht="15.75" customHeight="1" x14ac:dyDescent="0.25">
      <c r="A9" s="84" t="s">
        <v>65</v>
      </c>
      <c r="B9" s="85">
        <v>5061050262</v>
      </c>
      <c r="C9"/>
      <c r="D9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s="3" customFormat="1" ht="15.75" customHeight="1" x14ac:dyDescent="0.25">
      <c r="A10" s="65" t="s">
        <v>66</v>
      </c>
      <c r="B10" s="58">
        <v>252150000</v>
      </c>
      <c r="C10"/>
      <c r="D10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28" s="3" customFormat="1" ht="15.75" customHeight="1" x14ac:dyDescent="0.25">
      <c r="A11" s="65" t="s">
        <v>54</v>
      </c>
      <c r="B11" s="58">
        <v>0</v>
      </c>
      <c r="C11"/>
      <c r="D11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s="3" customFormat="1" ht="15.75" customHeight="1" x14ac:dyDescent="0.25">
      <c r="A12" s="86" t="s">
        <v>55</v>
      </c>
      <c r="B12" s="87">
        <f>+B9+B10+B11</f>
        <v>5313200262</v>
      </c>
      <c r="C12"/>
      <c r="D12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28" s="3" customFormat="1" ht="15.75" customHeight="1" x14ac:dyDescent="0.25">
      <c r="A13" s="65" t="s">
        <v>68</v>
      </c>
      <c r="B13" s="58">
        <v>549603455</v>
      </c>
      <c r="C13"/>
      <c r="D13"/>
      <c r="E13" s="185"/>
      <c r="F13" s="185"/>
      <c r="G13" s="185"/>
      <c r="H13" s="2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</row>
    <row r="14" spans="1:28" s="3" customFormat="1" ht="15.75" customHeight="1" x14ac:dyDescent="0.25">
      <c r="A14" s="65" t="s">
        <v>69</v>
      </c>
      <c r="B14" s="58">
        <v>841486313</v>
      </c>
      <c r="C14"/>
      <c r="D1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s="3" customFormat="1" ht="15.75" customHeight="1" x14ac:dyDescent="0.25">
      <c r="A15" s="65" t="s">
        <v>56</v>
      </c>
      <c r="B15" s="58">
        <v>0</v>
      </c>
      <c r="C15"/>
      <c r="D1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28" s="3" customFormat="1" ht="15.75" customHeight="1" x14ac:dyDescent="0.25">
      <c r="A16" s="86" t="s">
        <v>57</v>
      </c>
      <c r="B16" s="87">
        <f>+B13+B14+B15</f>
        <v>1391089768</v>
      </c>
      <c r="C16"/>
      <c r="D16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9" s="3" customFormat="1" ht="15.75" customHeight="1" x14ac:dyDescent="0.25">
      <c r="A17" s="65" t="s">
        <v>70</v>
      </c>
      <c r="B17" s="58">
        <v>87410000</v>
      </c>
      <c r="C17"/>
      <c r="D17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9" s="3" customFormat="1" ht="15.75" customHeight="1" x14ac:dyDescent="0.25">
      <c r="A18" s="65" t="s">
        <v>71</v>
      </c>
      <c r="B18" s="58">
        <v>2750081597</v>
      </c>
      <c r="C18"/>
      <c r="D18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1:29" s="3" customFormat="1" ht="15.75" customHeight="1" x14ac:dyDescent="0.25">
      <c r="A19" s="65" t="s">
        <v>58</v>
      </c>
      <c r="B19" s="58">
        <v>0</v>
      </c>
      <c r="C19"/>
      <c r="D19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</row>
    <row r="20" spans="1:29" s="3" customFormat="1" ht="15.75" customHeight="1" x14ac:dyDescent="0.25">
      <c r="A20" s="86" t="s">
        <v>59</v>
      </c>
      <c r="B20" s="87">
        <f>+B17+B18+B19</f>
        <v>2837491597</v>
      </c>
      <c r="C20"/>
      <c r="D20"/>
      <c r="E20" s="185"/>
      <c r="F20" s="185"/>
      <c r="G20" s="185"/>
      <c r="H20" s="24"/>
      <c r="I20" s="24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</row>
    <row r="21" spans="1:29" s="3" customFormat="1" ht="15.75" customHeight="1" thickBot="1" x14ac:dyDescent="0.3">
      <c r="A21" s="88" t="s">
        <v>60</v>
      </c>
      <c r="B21" s="89">
        <f>+B12+B16+B20</f>
        <v>9541781627</v>
      </c>
      <c r="C21"/>
      <c r="D21" s="185"/>
      <c r="E21" s="24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24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</row>
    <row r="22" spans="1:29" s="3" customFormat="1" ht="9.75" customHeight="1" x14ac:dyDescent="0.25">
      <c r="A22" s="15"/>
      <c r="B22" s="16"/>
      <c r="C22" s="16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28"/>
      <c r="Z22" s="185"/>
      <c r="AA22" s="185"/>
      <c r="AB22" s="185"/>
    </row>
    <row r="23" spans="1:29" s="2" customFormat="1" ht="15.75" thickBo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</row>
    <row r="24" spans="1:29" ht="45" customHeight="1" x14ac:dyDescent="0.25">
      <c r="A24" s="282" t="s">
        <v>4</v>
      </c>
      <c r="B24" s="284" t="s">
        <v>0</v>
      </c>
      <c r="C24" s="284" t="s">
        <v>1</v>
      </c>
      <c r="D24" s="286" t="s">
        <v>3</v>
      </c>
      <c r="E24" s="288" t="s">
        <v>37</v>
      </c>
      <c r="F24" s="284"/>
      <c r="G24" s="289" t="s">
        <v>32</v>
      </c>
      <c r="H24" s="288" t="s">
        <v>38</v>
      </c>
      <c r="I24" s="284"/>
      <c r="J24" s="289" t="s">
        <v>33</v>
      </c>
      <c r="K24" s="288" t="s">
        <v>39</v>
      </c>
      <c r="L24" s="284"/>
      <c r="M24" s="289" t="s">
        <v>26</v>
      </c>
      <c r="N24" s="293" t="s">
        <v>6</v>
      </c>
      <c r="O24" s="295" t="s">
        <v>12</v>
      </c>
      <c r="P24" s="286" t="s">
        <v>9</v>
      </c>
      <c r="Q24" s="284" t="s">
        <v>116</v>
      </c>
      <c r="R24" s="284" t="s">
        <v>117</v>
      </c>
      <c r="S24" s="284" t="s">
        <v>118</v>
      </c>
      <c r="T24" s="291" t="s">
        <v>119</v>
      </c>
      <c r="U24" s="291" t="s">
        <v>120</v>
      </c>
      <c r="V24" s="291" t="s">
        <v>121</v>
      </c>
      <c r="W24" s="291" t="s">
        <v>122</v>
      </c>
      <c r="X24" s="284" t="s">
        <v>123</v>
      </c>
      <c r="Y24" s="284" t="s">
        <v>199</v>
      </c>
      <c r="Z24" s="284" t="s">
        <v>5</v>
      </c>
      <c r="AA24" s="297" t="s">
        <v>114</v>
      </c>
    </row>
    <row r="25" spans="1:29" x14ac:dyDescent="0.25">
      <c r="A25" s="283"/>
      <c r="B25" s="285"/>
      <c r="C25" s="285"/>
      <c r="D25" s="287"/>
      <c r="E25" s="30" t="s">
        <v>40</v>
      </c>
      <c r="F25" s="186" t="s">
        <v>41</v>
      </c>
      <c r="G25" s="290"/>
      <c r="H25" s="30" t="s">
        <v>42</v>
      </c>
      <c r="I25" s="186" t="s">
        <v>41</v>
      </c>
      <c r="J25" s="290"/>
      <c r="K25" s="30" t="s">
        <v>40</v>
      </c>
      <c r="L25" s="186" t="s">
        <v>41</v>
      </c>
      <c r="M25" s="290"/>
      <c r="N25" s="294"/>
      <c r="O25" s="296"/>
      <c r="P25" s="287"/>
      <c r="Q25" s="285"/>
      <c r="R25" s="285"/>
      <c r="S25" s="285"/>
      <c r="T25" s="292"/>
      <c r="U25" s="292"/>
      <c r="V25" s="292"/>
      <c r="W25" s="292"/>
      <c r="X25" s="285"/>
      <c r="Y25" s="285"/>
      <c r="Z25" s="285"/>
      <c r="AA25" s="298"/>
    </row>
    <row r="26" spans="1:29" ht="15.75" thickBot="1" x14ac:dyDescent="0.3">
      <c r="A26" s="193" t="s">
        <v>94</v>
      </c>
      <c r="B26" s="194"/>
      <c r="C26" s="194"/>
      <c r="D26" s="195"/>
      <c r="E26" s="117"/>
      <c r="F26" s="117"/>
      <c r="G26" s="118"/>
      <c r="H26" s="119"/>
      <c r="I26" s="117"/>
      <c r="J26" s="118"/>
      <c r="K26" s="119"/>
      <c r="L26" s="117"/>
      <c r="M26" s="118"/>
      <c r="N26" s="120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1:29" x14ac:dyDescent="0.25">
      <c r="A27" s="196" t="s">
        <v>28</v>
      </c>
      <c r="B27" s="215">
        <v>401</v>
      </c>
      <c r="C27" s="215">
        <v>10</v>
      </c>
      <c r="D27" s="216">
        <v>720000</v>
      </c>
      <c r="E27" s="217">
        <v>2710800000</v>
      </c>
      <c r="F27" s="197"/>
      <c r="G27" s="197"/>
      <c r="H27" s="197">
        <v>0</v>
      </c>
      <c r="I27" s="197"/>
      <c r="J27" s="197"/>
      <c r="K27" s="197"/>
      <c r="L27" s="197"/>
      <c r="M27" s="197"/>
      <c r="N27" s="199">
        <f>E27+H27+K27</f>
        <v>2710800000</v>
      </c>
      <c r="O27" s="199">
        <f>SUM(Q27:Y27)</f>
        <v>182002800</v>
      </c>
      <c r="P27" s="199">
        <f>N27-O27</f>
        <v>2528797200</v>
      </c>
      <c r="Q27" s="197">
        <f>10860000*94%</f>
        <v>10208400</v>
      </c>
      <c r="R27" s="198">
        <f>(7080000+14490000)*94%</f>
        <v>20275800</v>
      </c>
      <c r="S27" s="197">
        <f>(40470000)*94%</f>
        <v>38041800</v>
      </c>
      <c r="T27" s="197">
        <f>(120720000)*94%</f>
        <v>113476800</v>
      </c>
      <c r="U27" s="197">
        <v>0</v>
      </c>
      <c r="V27" s="197">
        <v>0</v>
      </c>
      <c r="W27" s="197">
        <v>0</v>
      </c>
      <c r="X27" s="197">
        <v>0</v>
      </c>
      <c r="Y27" s="197"/>
      <c r="Z27" s="199">
        <f>SUM(Q27:Y27)</f>
        <v>182002800</v>
      </c>
      <c r="AA27" s="200">
        <f>OO27</f>
        <v>0</v>
      </c>
      <c r="AB27" s="13"/>
    </row>
    <row r="28" spans="1:29" x14ac:dyDescent="0.25">
      <c r="A28" s="34" t="s">
        <v>96</v>
      </c>
      <c r="B28" s="107"/>
      <c r="C28" s="107"/>
      <c r="D28" s="218"/>
      <c r="E28" s="108">
        <f>E27</f>
        <v>2710800000</v>
      </c>
      <c r="F28" s="108">
        <f>SUM(F27)</f>
        <v>0</v>
      </c>
      <c r="G28" s="108" t="e">
        <f>+#REF!+#REF!+#REF!+#REF!+#REF!+G21+G23+G26</f>
        <v>#REF!</v>
      </c>
      <c r="H28" s="108">
        <f>H27</f>
        <v>0</v>
      </c>
      <c r="I28" s="108">
        <f>SUM(I27)</f>
        <v>0</v>
      </c>
      <c r="J28" s="108" t="e">
        <f>+#REF!+#REF!+#REF!+#REF!+#REF!+J21+J23+J26</f>
        <v>#REF!</v>
      </c>
      <c r="K28" s="108">
        <f>SUM(K27)</f>
        <v>0</v>
      </c>
      <c r="L28" s="108">
        <f>SUM(L27)</f>
        <v>0</v>
      </c>
      <c r="M28" s="108">
        <f t="shared" ref="M28:N28" si="0">M27</f>
        <v>0</v>
      </c>
      <c r="N28" s="108">
        <f t="shared" si="0"/>
        <v>2710800000</v>
      </c>
      <c r="O28" s="108">
        <f>O27</f>
        <v>182002800</v>
      </c>
      <c r="P28" s="108">
        <f>P27</f>
        <v>2528797200</v>
      </c>
      <c r="Q28" s="108">
        <f>Q27</f>
        <v>10208400</v>
      </c>
      <c r="R28" s="108">
        <f>R27</f>
        <v>20275800</v>
      </c>
      <c r="S28" s="108">
        <f>S27</f>
        <v>38041800</v>
      </c>
      <c r="T28" s="108">
        <f t="shared" ref="T28:Y28" si="1">T27</f>
        <v>113476800</v>
      </c>
      <c r="U28" s="108">
        <f t="shared" si="1"/>
        <v>0</v>
      </c>
      <c r="V28" s="108">
        <f t="shared" si="1"/>
        <v>0</v>
      </c>
      <c r="W28" s="108">
        <f t="shared" si="1"/>
        <v>0</v>
      </c>
      <c r="X28" s="108">
        <f t="shared" si="1"/>
        <v>0</v>
      </c>
      <c r="Y28" s="108">
        <f t="shared" si="1"/>
        <v>0</v>
      </c>
      <c r="Z28" s="108">
        <f>Z27</f>
        <v>182002800</v>
      </c>
      <c r="AA28" s="201">
        <f>AA27</f>
        <v>0</v>
      </c>
    </row>
    <row r="29" spans="1:29" ht="15" customHeight="1" x14ac:dyDescent="0.25">
      <c r="A29" s="93" t="s">
        <v>61</v>
      </c>
      <c r="B29" s="101">
        <v>1</v>
      </c>
      <c r="C29" s="101">
        <v>12</v>
      </c>
      <c r="D29" s="219">
        <v>5300000</v>
      </c>
      <c r="E29" s="220">
        <f>E30</f>
        <v>47600000</v>
      </c>
      <c r="F29" s="102">
        <v>0</v>
      </c>
      <c r="G29" s="102">
        <v>0</v>
      </c>
      <c r="H29" s="94">
        <f>+H30</f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94">
        <f>+E29</f>
        <v>47600000</v>
      </c>
      <c r="O29" s="94">
        <f>O30</f>
        <v>47600000</v>
      </c>
      <c r="P29" s="94">
        <f>N29-O29</f>
        <v>0</v>
      </c>
      <c r="Q29" s="94">
        <f>+Q30</f>
        <v>2915000.25</v>
      </c>
      <c r="R29" s="94">
        <f t="shared" ref="R29" si="2">+R30</f>
        <v>3975000</v>
      </c>
      <c r="S29" s="94">
        <f>S30</f>
        <v>3975000</v>
      </c>
      <c r="T29" s="94">
        <f>T30</f>
        <v>3975000</v>
      </c>
      <c r="U29" s="94">
        <f t="shared" ref="U29:Y29" si="3">U30</f>
        <v>0</v>
      </c>
      <c r="V29" s="94">
        <f t="shared" si="3"/>
        <v>0</v>
      </c>
      <c r="W29" s="94">
        <f t="shared" si="3"/>
        <v>0</v>
      </c>
      <c r="X29" s="94">
        <f t="shared" si="3"/>
        <v>0</v>
      </c>
      <c r="Y29" s="94">
        <f t="shared" si="3"/>
        <v>0</v>
      </c>
      <c r="Z29" s="94">
        <f>SUM(Q29:Y29)</f>
        <v>14840000.25</v>
      </c>
      <c r="AA29" s="202">
        <f>+AA30</f>
        <v>32759999.75</v>
      </c>
    </row>
    <row r="30" spans="1:29" x14ac:dyDescent="0.25">
      <c r="A30" s="35" t="s">
        <v>162</v>
      </c>
      <c r="B30" s="98"/>
      <c r="C30" s="98"/>
      <c r="D30" s="221"/>
      <c r="E30" s="222">
        <v>47600000</v>
      </c>
      <c r="F30" s="189"/>
      <c r="G30" s="189"/>
      <c r="H30" s="189">
        <v>0</v>
      </c>
      <c r="I30" s="189"/>
      <c r="J30" s="189"/>
      <c r="K30" s="189"/>
      <c r="L30" s="189"/>
      <c r="M30" s="189"/>
      <c r="N30" s="189"/>
      <c r="O30" s="189">
        <f>E30+H30+K30</f>
        <v>47600000</v>
      </c>
      <c r="P30" s="189"/>
      <c r="Q30" s="99">
        <f>(3886667)*75%</f>
        <v>2915000.25</v>
      </c>
      <c r="R30" s="99">
        <f>+(5300000*75%)</f>
        <v>3975000</v>
      </c>
      <c r="S30" s="99">
        <f>+(5300000*75%)</f>
        <v>3975000</v>
      </c>
      <c r="T30" s="260">
        <f>+(5300000*75%)</f>
        <v>3975000</v>
      </c>
      <c r="U30" s="99">
        <v>0</v>
      </c>
      <c r="V30" s="99">
        <v>0</v>
      </c>
      <c r="W30" s="99">
        <v>0</v>
      </c>
      <c r="X30" s="99">
        <v>0</v>
      </c>
      <c r="Y30" s="99"/>
      <c r="Z30" s="99">
        <f>SUM(Q30:Y30)</f>
        <v>14840000.25</v>
      </c>
      <c r="AA30" s="174">
        <f t="shared" ref="AA30:AA39" si="4">O30-Z30</f>
        <v>32759999.75</v>
      </c>
    </row>
    <row r="31" spans="1:29" s="1" customFormat="1" x14ac:dyDescent="0.25">
      <c r="A31" s="93" t="s">
        <v>34</v>
      </c>
      <c r="B31" s="101">
        <v>1</v>
      </c>
      <c r="C31" s="101">
        <v>11</v>
      </c>
      <c r="D31" s="219">
        <v>3030000</v>
      </c>
      <c r="E31" s="220">
        <f>+B31*C31*D31</f>
        <v>33330000</v>
      </c>
      <c r="F31" s="102">
        <v>0</v>
      </c>
      <c r="G31" s="102"/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94">
        <f>+E31</f>
        <v>33330000</v>
      </c>
      <c r="O31" s="94">
        <f>O32</f>
        <v>33330000</v>
      </c>
      <c r="P31" s="94">
        <f>N31-O31</f>
        <v>0</v>
      </c>
      <c r="Q31" s="94">
        <f>+Q32</f>
        <v>2222000</v>
      </c>
      <c r="R31" s="94">
        <f t="shared" ref="R31" si="5">+R32</f>
        <v>3030000</v>
      </c>
      <c r="S31" s="94">
        <f>S32</f>
        <v>3030000</v>
      </c>
      <c r="T31" s="94">
        <f>SUM(T32:T33)</f>
        <v>2525000</v>
      </c>
      <c r="U31" s="94">
        <f t="shared" ref="S31:Y34" si="6">U32</f>
        <v>0</v>
      </c>
      <c r="V31" s="94">
        <f t="shared" si="6"/>
        <v>0</v>
      </c>
      <c r="W31" s="94">
        <f t="shared" si="6"/>
        <v>0</v>
      </c>
      <c r="X31" s="94">
        <f t="shared" si="6"/>
        <v>0</v>
      </c>
      <c r="Y31" s="94">
        <f t="shared" si="6"/>
        <v>0</v>
      </c>
      <c r="Z31" s="94">
        <f>SUM(Q31:Y31)</f>
        <v>10807000</v>
      </c>
      <c r="AA31" s="202">
        <f>+AA32</f>
        <v>22523000</v>
      </c>
    </row>
    <row r="32" spans="1:29" x14ac:dyDescent="0.25">
      <c r="A32" s="35" t="s">
        <v>163</v>
      </c>
      <c r="B32" s="98"/>
      <c r="C32" s="98"/>
      <c r="D32" s="221"/>
      <c r="E32" s="222">
        <v>33330000</v>
      </c>
      <c r="F32" s="189"/>
      <c r="G32" s="189"/>
      <c r="H32" s="189"/>
      <c r="I32" s="189"/>
      <c r="J32" s="189"/>
      <c r="K32" s="189"/>
      <c r="L32" s="189"/>
      <c r="M32" s="223"/>
      <c r="N32" s="189"/>
      <c r="O32" s="189">
        <f>E32+H32+K32</f>
        <v>33330000</v>
      </c>
      <c r="P32" s="189"/>
      <c r="Q32" s="99">
        <v>2222000</v>
      </c>
      <c r="R32" s="99">
        <v>3030000</v>
      </c>
      <c r="S32" s="99">
        <v>3030000</v>
      </c>
      <c r="T32" s="260">
        <v>808000</v>
      </c>
      <c r="U32" s="99">
        <v>0</v>
      </c>
      <c r="V32" s="99">
        <v>0</v>
      </c>
      <c r="W32" s="99">
        <v>0</v>
      </c>
      <c r="X32" s="99">
        <v>0</v>
      </c>
      <c r="Y32" s="99"/>
      <c r="Z32" s="99">
        <f>SUM(Q32:Y33)</f>
        <v>10807000</v>
      </c>
      <c r="AA32" s="174">
        <f>O32-Z32</f>
        <v>22523000</v>
      </c>
      <c r="AB32" s="13"/>
      <c r="AC32" s="13"/>
    </row>
    <row r="33" spans="1:29" x14ac:dyDescent="0.25">
      <c r="A33" s="35" t="s">
        <v>164</v>
      </c>
      <c r="B33" s="98"/>
      <c r="C33" s="98"/>
      <c r="D33" s="221"/>
      <c r="E33" s="222"/>
      <c r="F33" s="189"/>
      <c r="G33" s="189"/>
      <c r="H33" s="189"/>
      <c r="I33" s="189"/>
      <c r="J33" s="189"/>
      <c r="K33" s="189"/>
      <c r="L33" s="189"/>
      <c r="M33" s="223"/>
      <c r="N33" s="189"/>
      <c r="O33" s="189"/>
      <c r="P33" s="189"/>
      <c r="Q33" s="99"/>
      <c r="R33" s="99"/>
      <c r="S33" s="99"/>
      <c r="T33" s="260">
        <v>1717000</v>
      </c>
      <c r="U33" s="99"/>
      <c r="V33" s="99"/>
      <c r="W33" s="99"/>
      <c r="X33" s="99"/>
      <c r="Y33" s="99"/>
      <c r="Z33" s="99"/>
      <c r="AA33" s="174">
        <f t="shared" si="4"/>
        <v>0</v>
      </c>
      <c r="AB33" s="13"/>
      <c r="AC33" s="13"/>
    </row>
    <row r="34" spans="1:29" s="1" customFormat="1" x14ac:dyDescent="0.25">
      <c r="A34" s="93" t="s">
        <v>124</v>
      </c>
      <c r="B34" s="101">
        <v>1</v>
      </c>
      <c r="C34" s="101">
        <v>9</v>
      </c>
      <c r="D34" s="219">
        <v>3600000</v>
      </c>
      <c r="E34" s="220">
        <f>+B34*C34*D34</f>
        <v>32400000</v>
      </c>
      <c r="F34" s="102">
        <v>0</v>
      </c>
      <c r="G34" s="102"/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94">
        <f>+E34</f>
        <v>32400000</v>
      </c>
      <c r="O34" s="94">
        <f>O35</f>
        <v>32400000</v>
      </c>
      <c r="P34" s="94">
        <f>N34-O34</f>
        <v>0</v>
      </c>
      <c r="Q34" s="102">
        <f>+Q35</f>
        <v>0</v>
      </c>
      <c r="R34" s="94">
        <f>+R35</f>
        <v>0</v>
      </c>
      <c r="S34" s="94">
        <f t="shared" si="6"/>
        <v>0</v>
      </c>
      <c r="T34" s="94">
        <f>T35</f>
        <v>1200000</v>
      </c>
      <c r="U34" s="94">
        <f t="shared" si="6"/>
        <v>0</v>
      </c>
      <c r="V34" s="94">
        <f t="shared" si="6"/>
        <v>0</v>
      </c>
      <c r="W34" s="94">
        <f t="shared" si="6"/>
        <v>0</v>
      </c>
      <c r="X34" s="94">
        <f t="shared" si="6"/>
        <v>0</v>
      </c>
      <c r="Y34" s="94">
        <f>Y35</f>
        <v>0</v>
      </c>
      <c r="Z34" s="94">
        <f t="shared" ref="Z34:Z39" si="7">SUM(Q34:Y34)</f>
        <v>1200000</v>
      </c>
      <c r="AA34" s="202">
        <f>+AA35</f>
        <v>31200000</v>
      </c>
    </row>
    <row r="35" spans="1:29" x14ac:dyDescent="0.25">
      <c r="A35" s="35" t="s">
        <v>165</v>
      </c>
      <c r="B35" s="98"/>
      <c r="C35" s="98"/>
      <c r="D35" s="221"/>
      <c r="E35" s="222">
        <v>32400000</v>
      </c>
      <c r="F35" s="189"/>
      <c r="G35" s="189"/>
      <c r="H35" s="189"/>
      <c r="I35" s="189"/>
      <c r="J35" s="189"/>
      <c r="K35" s="189"/>
      <c r="L35" s="189"/>
      <c r="M35" s="223"/>
      <c r="N35" s="189"/>
      <c r="O35" s="189">
        <f>E35+H35+K35</f>
        <v>32400000</v>
      </c>
      <c r="P35" s="189"/>
      <c r="Q35" s="99">
        <v>0</v>
      </c>
      <c r="R35" s="99">
        <v>0</v>
      </c>
      <c r="S35" s="99">
        <v>0</v>
      </c>
      <c r="T35" s="260">
        <v>1200000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f t="shared" si="7"/>
        <v>1200000</v>
      </c>
      <c r="AA35" s="174">
        <f t="shared" si="4"/>
        <v>31200000</v>
      </c>
      <c r="AB35" s="13"/>
      <c r="AC35" s="13"/>
    </row>
    <row r="36" spans="1:29" x14ac:dyDescent="0.25">
      <c r="A36" s="93" t="s">
        <v>30</v>
      </c>
      <c r="B36" s="101">
        <v>3</v>
      </c>
      <c r="C36" s="101">
        <v>9</v>
      </c>
      <c r="D36" s="219">
        <v>2220000</v>
      </c>
      <c r="E36" s="220">
        <f>+B36*C36*D36</f>
        <v>59940000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94">
        <f>+E36</f>
        <v>59940000</v>
      </c>
      <c r="O36" s="94">
        <f>SUM(O37:O39)</f>
        <v>29970000</v>
      </c>
      <c r="P36" s="94">
        <f>N36-O36</f>
        <v>29970000</v>
      </c>
      <c r="Q36" s="94">
        <f>+Q37+Q38+Q39</f>
        <v>592000</v>
      </c>
      <c r="R36" s="94">
        <f t="shared" ref="R36:S36" si="8">+R37+R38+R39</f>
        <v>2220000</v>
      </c>
      <c r="S36" s="94">
        <f t="shared" si="8"/>
        <v>2220000</v>
      </c>
      <c r="T36" s="94">
        <f>SUM(T37:T39)</f>
        <v>2590000</v>
      </c>
      <c r="U36" s="102">
        <f t="shared" ref="U36:X36" si="9">U37</f>
        <v>0</v>
      </c>
      <c r="V36" s="102">
        <f t="shared" si="9"/>
        <v>0</v>
      </c>
      <c r="W36" s="102">
        <f t="shared" si="9"/>
        <v>0</v>
      </c>
      <c r="X36" s="102">
        <f t="shared" si="9"/>
        <v>0</v>
      </c>
      <c r="Y36" s="102"/>
      <c r="Z36" s="94">
        <f t="shared" si="7"/>
        <v>7622000</v>
      </c>
      <c r="AA36" s="202">
        <f>SUM(AA37:AA39)</f>
        <v>22348000</v>
      </c>
      <c r="AB36" s="13"/>
    </row>
    <row r="37" spans="1:29" x14ac:dyDescent="0.25">
      <c r="A37" s="35" t="s">
        <v>191</v>
      </c>
      <c r="B37" s="104">
        <v>1</v>
      </c>
      <c r="C37" s="104">
        <v>4.5</v>
      </c>
      <c r="D37" s="222">
        <v>2220000</v>
      </c>
      <c r="E37" s="222">
        <f>+B37*C37*D37</f>
        <v>9990000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51">
        <f>E37+H37+K37</f>
        <v>9990000</v>
      </c>
      <c r="P37" s="224"/>
      <c r="Q37" s="99">
        <v>592000</v>
      </c>
      <c r="R37" s="99">
        <v>2220000</v>
      </c>
      <c r="S37" s="99">
        <v>2220000</v>
      </c>
      <c r="T37" s="260">
        <f>1628000+592000</f>
        <v>2220000</v>
      </c>
      <c r="U37" s="99">
        <v>0</v>
      </c>
      <c r="V37" s="99">
        <v>0</v>
      </c>
      <c r="W37" s="99">
        <v>0</v>
      </c>
      <c r="X37" s="99">
        <v>0</v>
      </c>
      <c r="Y37" s="99"/>
      <c r="Z37" s="99">
        <f t="shared" si="7"/>
        <v>7252000</v>
      </c>
      <c r="AA37" s="174">
        <f t="shared" si="4"/>
        <v>2738000</v>
      </c>
      <c r="AB37" s="13"/>
    </row>
    <row r="38" spans="1:29" x14ac:dyDescent="0.25">
      <c r="A38" s="35" t="s">
        <v>198</v>
      </c>
      <c r="B38" s="104">
        <v>1</v>
      </c>
      <c r="C38" s="104">
        <v>9</v>
      </c>
      <c r="D38" s="222">
        <v>2220000</v>
      </c>
      <c r="E38" s="222">
        <f>+B38*C38*D38</f>
        <v>19980000</v>
      </c>
      <c r="F38" s="224"/>
      <c r="G38" s="224"/>
      <c r="H38" s="224"/>
      <c r="I38" s="224"/>
      <c r="J38" s="224"/>
      <c r="K38" s="224"/>
      <c r="L38" s="224"/>
      <c r="M38" s="224"/>
      <c r="N38" s="224"/>
      <c r="O38" s="189">
        <f t="shared" ref="O38:O39" si="10">E38+H38+K38</f>
        <v>19980000</v>
      </c>
      <c r="P38" s="224"/>
      <c r="Q38" s="99"/>
      <c r="R38" s="99"/>
      <c r="S38" s="99"/>
      <c r="T38" s="260">
        <v>370000</v>
      </c>
      <c r="U38" s="99">
        <v>0</v>
      </c>
      <c r="V38" s="99">
        <v>0</v>
      </c>
      <c r="W38" s="99">
        <v>0</v>
      </c>
      <c r="X38" s="99">
        <v>0</v>
      </c>
      <c r="Y38" s="99"/>
      <c r="Z38" s="99">
        <f t="shared" si="7"/>
        <v>370000</v>
      </c>
      <c r="AA38" s="174">
        <f t="shared" si="4"/>
        <v>19610000</v>
      </c>
      <c r="AB38" s="13"/>
    </row>
    <row r="39" spans="1:29" x14ac:dyDescent="0.25">
      <c r="A39" s="35"/>
      <c r="B39" s="104"/>
      <c r="C39" s="104"/>
      <c r="D39" s="222"/>
      <c r="E39" s="222">
        <f>+B39*C39*D39</f>
        <v>0</v>
      </c>
      <c r="F39" s="224"/>
      <c r="G39" s="224"/>
      <c r="H39" s="224"/>
      <c r="I39" s="224"/>
      <c r="J39" s="224"/>
      <c r="K39" s="224"/>
      <c r="L39" s="224"/>
      <c r="M39" s="224"/>
      <c r="N39" s="224"/>
      <c r="O39" s="189">
        <f t="shared" si="10"/>
        <v>0</v>
      </c>
      <c r="P39" s="224"/>
      <c r="Q39" s="99"/>
      <c r="R39" s="99"/>
      <c r="S39" s="99"/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/>
      <c r="Z39" s="99">
        <f t="shared" si="7"/>
        <v>0</v>
      </c>
      <c r="AA39" s="174">
        <f t="shared" si="4"/>
        <v>0</v>
      </c>
      <c r="AB39" s="13"/>
    </row>
    <row r="40" spans="1:29" x14ac:dyDescent="0.25">
      <c r="A40" s="35"/>
      <c r="B40" s="104"/>
      <c r="C40" s="104"/>
      <c r="D40" s="222"/>
      <c r="E40" s="222"/>
      <c r="F40" s="224"/>
      <c r="G40" s="224"/>
      <c r="H40" s="224"/>
      <c r="I40" s="224"/>
      <c r="J40" s="224"/>
      <c r="K40" s="224"/>
      <c r="L40" s="224"/>
      <c r="M40" s="224"/>
      <c r="N40" s="224"/>
      <c r="O40" s="189"/>
      <c r="P40" s="224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100"/>
      <c r="AB40" s="13"/>
    </row>
    <row r="41" spans="1:29" x14ac:dyDescent="0.25">
      <c r="A41" s="93" t="s">
        <v>158</v>
      </c>
      <c r="B41" s="101">
        <f>3</f>
        <v>3</v>
      </c>
      <c r="C41" s="101">
        <v>10</v>
      </c>
      <c r="D41" s="219">
        <v>1995000</v>
      </c>
      <c r="E41" s="220">
        <f>(B41*C41*D41)*30%</f>
        <v>17955000</v>
      </c>
      <c r="F41" s="102">
        <v>0</v>
      </c>
      <c r="G41" s="102">
        <v>0</v>
      </c>
      <c r="H41" s="220">
        <f>SUM(H42:H44)</f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94">
        <f>+E41</f>
        <v>17955000</v>
      </c>
      <c r="O41" s="94">
        <f>SUM(O42:O44)</f>
        <v>9576000</v>
      </c>
      <c r="P41" s="94">
        <f>N41-O41</f>
        <v>8379000</v>
      </c>
      <c r="Q41" s="94">
        <f>SUM(Q42:Q44)</f>
        <v>758100</v>
      </c>
      <c r="R41" s="94">
        <f>SUM(R42:R44)</f>
        <v>1197000</v>
      </c>
      <c r="S41" s="94">
        <f t="shared" ref="S41:Y41" si="11">SUM(S42:S44)</f>
        <v>1197000</v>
      </c>
      <c r="T41" s="94">
        <f>SUM(T42:T44)</f>
        <v>1655850</v>
      </c>
      <c r="U41" s="102">
        <f t="shared" si="11"/>
        <v>0</v>
      </c>
      <c r="V41" s="102">
        <f t="shared" si="11"/>
        <v>0</v>
      </c>
      <c r="W41" s="102">
        <f t="shared" si="11"/>
        <v>0</v>
      </c>
      <c r="X41" s="94">
        <f t="shared" si="11"/>
        <v>0</v>
      </c>
      <c r="Y41" s="94">
        <f t="shared" si="11"/>
        <v>0</v>
      </c>
      <c r="Z41" s="121">
        <f>SUM(Q41:Y41)</f>
        <v>4807950</v>
      </c>
      <c r="AA41" s="202">
        <f>SUM(AA42:AA44)</f>
        <v>4768050</v>
      </c>
      <c r="AB41" s="13"/>
      <c r="AC41" s="13"/>
    </row>
    <row r="42" spans="1:29" ht="15" customHeight="1" x14ac:dyDescent="0.25">
      <c r="A42" s="225" t="s">
        <v>192</v>
      </c>
      <c r="B42" s="173">
        <v>1</v>
      </c>
      <c r="C42" s="173">
        <v>4.5</v>
      </c>
      <c r="D42" s="226">
        <v>1995000</v>
      </c>
      <c r="E42" s="226">
        <f>(C42*D42)*30%</f>
        <v>2693250</v>
      </c>
      <c r="F42" s="189"/>
      <c r="G42" s="189"/>
      <c r="H42" s="189">
        <v>0</v>
      </c>
      <c r="I42" s="189"/>
      <c r="J42" s="189"/>
      <c r="K42" s="189"/>
      <c r="L42" s="189"/>
      <c r="M42" s="189"/>
      <c r="N42" s="189"/>
      <c r="O42" s="182">
        <f t="shared" ref="O42:O44" si="12">E42+H42+K42</f>
        <v>2693250</v>
      </c>
      <c r="P42" s="189"/>
      <c r="Q42" s="99">
        <f>1064000*30%</f>
        <v>319200</v>
      </c>
      <c r="R42" s="99">
        <f>1995000*30%</f>
        <v>598500</v>
      </c>
      <c r="S42" s="99">
        <f>1995000*30%</f>
        <v>598500</v>
      </c>
      <c r="T42" s="260">
        <f t="shared" ref="T42:T43" si="13">1995000*30%</f>
        <v>598500</v>
      </c>
      <c r="U42" s="99">
        <v>0</v>
      </c>
      <c r="V42" s="99">
        <v>0</v>
      </c>
      <c r="W42" s="99">
        <v>0</v>
      </c>
      <c r="X42" s="99">
        <v>0</v>
      </c>
      <c r="Y42" s="99"/>
      <c r="Z42" s="99">
        <f>SUM(Q42:Y42)</f>
        <v>2114700</v>
      </c>
      <c r="AA42" s="174">
        <f t="shared" ref="AA42:AA44" si="14">O42-Z42</f>
        <v>578550</v>
      </c>
      <c r="AB42" s="13"/>
      <c r="AC42" s="13"/>
    </row>
    <row r="43" spans="1:29" ht="15" customHeight="1" x14ac:dyDescent="0.25">
      <c r="A43" s="225" t="s">
        <v>193</v>
      </c>
      <c r="B43" s="173">
        <v>1</v>
      </c>
      <c r="C43" s="173">
        <v>4.5</v>
      </c>
      <c r="D43" s="226">
        <v>1995000</v>
      </c>
      <c r="E43" s="226">
        <f>(C43*D43)*30%</f>
        <v>2693250</v>
      </c>
      <c r="F43" s="189"/>
      <c r="G43" s="189"/>
      <c r="H43" s="189">
        <v>0</v>
      </c>
      <c r="I43" s="189"/>
      <c r="J43" s="189"/>
      <c r="K43" s="189"/>
      <c r="L43" s="189"/>
      <c r="M43" s="189"/>
      <c r="N43" s="189"/>
      <c r="O43" s="182">
        <f t="shared" si="12"/>
        <v>2693250</v>
      </c>
      <c r="P43" s="189"/>
      <c r="Q43" s="99">
        <f>1463000*30%</f>
        <v>438900</v>
      </c>
      <c r="R43" s="99">
        <f>1995000*30%</f>
        <v>598500</v>
      </c>
      <c r="S43" s="99">
        <f>1995000*30%</f>
        <v>598500</v>
      </c>
      <c r="T43" s="260">
        <f t="shared" si="13"/>
        <v>598500</v>
      </c>
      <c r="U43" s="99">
        <v>0</v>
      </c>
      <c r="V43" s="99">
        <v>0</v>
      </c>
      <c r="W43" s="99">
        <v>0</v>
      </c>
      <c r="X43" s="99">
        <v>0</v>
      </c>
      <c r="Y43" s="99"/>
      <c r="Z43" s="99">
        <f>SUM(Q43:Y43)</f>
        <v>2234400</v>
      </c>
      <c r="AA43" s="174">
        <f t="shared" si="14"/>
        <v>458850</v>
      </c>
      <c r="AB43" s="13"/>
      <c r="AC43" s="13"/>
    </row>
    <row r="44" spans="1:29" ht="15" customHeight="1" x14ac:dyDescent="0.25">
      <c r="A44" s="237" t="s">
        <v>168</v>
      </c>
      <c r="B44" s="173">
        <v>1</v>
      </c>
      <c r="C44" s="173">
        <v>7</v>
      </c>
      <c r="D44" s="226">
        <v>1995000</v>
      </c>
      <c r="E44" s="226">
        <f>(C44*D44)*30%</f>
        <v>4189500</v>
      </c>
      <c r="F44" s="189"/>
      <c r="G44" s="189"/>
      <c r="H44" s="189">
        <v>0</v>
      </c>
      <c r="I44" s="189"/>
      <c r="J44" s="189"/>
      <c r="K44" s="189"/>
      <c r="L44" s="189"/>
      <c r="M44" s="189"/>
      <c r="N44" s="189"/>
      <c r="O44" s="189">
        <f t="shared" si="12"/>
        <v>4189500</v>
      </c>
      <c r="P44" s="189"/>
      <c r="Q44" s="99"/>
      <c r="R44" s="99"/>
      <c r="S44" s="99"/>
      <c r="T44" s="260">
        <f>1529500*30%</f>
        <v>458850</v>
      </c>
      <c r="U44" s="99">
        <v>0</v>
      </c>
      <c r="V44" s="99">
        <v>0</v>
      </c>
      <c r="W44" s="99">
        <v>0</v>
      </c>
      <c r="X44" s="99">
        <v>0</v>
      </c>
      <c r="Y44" s="99"/>
      <c r="Z44" s="99">
        <f>SUM(Q44:Y44)</f>
        <v>458850</v>
      </c>
      <c r="AA44" s="174">
        <f t="shared" si="14"/>
        <v>3730650</v>
      </c>
      <c r="AB44" s="13"/>
      <c r="AC44" s="13"/>
    </row>
    <row r="45" spans="1:29" ht="15" customHeight="1" x14ac:dyDescent="0.25">
      <c r="A45" s="225"/>
      <c r="B45" s="98"/>
      <c r="C45" s="98"/>
      <c r="D45" s="221"/>
      <c r="E45" s="222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100"/>
      <c r="AB45" s="13"/>
    </row>
    <row r="46" spans="1:29" ht="15" customHeight="1" x14ac:dyDescent="0.25">
      <c r="A46" s="93" t="s">
        <v>158</v>
      </c>
      <c r="B46" s="101">
        <v>24</v>
      </c>
      <c r="C46" s="101">
        <v>9</v>
      </c>
      <c r="D46" s="219">
        <v>1995000</v>
      </c>
      <c r="E46" s="220">
        <f>+B46*C46*D46</f>
        <v>430920000</v>
      </c>
      <c r="F46" s="102">
        <v>0</v>
      </c>
      <c r="G46" s="102">
        <v>0</v>
      </c>
      <c r="H46" s="220">
        <f>SUM(H72:H73)</f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4">
        <f>+E46</f>
        <v>430920000</v>
      </c>
      <c r="O46" s="94">
        <f>SUM(O47:O70)</f>
        <v>251370000</v>
      </c>
      <c r="P46" s="94">
        <f>N46-O46</f>
        <v>179550000</v>
      </c>
      <c r="Q46" s="102"/>
      <c r="R46" s="102"/>
      <c r="S46" s="102"/>
      <c r="T46" s="94">
        <f>SUM(T47:T70)</f>
        <v>16425500</v>
      </c>
      <c r="U46" s="102"/>
      <c r="V46" s="102"/>
      <c r="W46" s="102"/>
      <c r="X46" s="94"/>
      <c r="Y46" s="94">
        <f>SUM(Y72:Y73)</f>
        <v>0</v>
      </c>
      <c r="Z46" s="121">
        <f>SUM(Q46:Y46)</f>
        <v>16425500</v>
      </c>
      <c r="AA46" s="202">
        <f>SUM(AA47:AA70)</f>
        <v>234944500</v>
      </c>
      <c r="AB46" s="13"/>
    </row>
    <row r="47" spans="1:29" s="2" customFormat="1" ht="15" customHeight="1" x14ac:dyDescent="0.25">
      <c r="A47" s="225" t="s">
        <v>169</v>
      </c>
      <c r="B47" s="173">
        <v>1</v>
      </c>
      <c r="C47" s="173">
        <v>9</v>
      </c>
      <c r="D47" s="226">
        <v>1995000</v>
      </c>
      <c r="E47" s="226">
        <f>+B47*C47*D47</f>
        <v>17955000</v>
      </c>
      <c r="F47" s="182"/>
      <c r="G47" s="182"/>
      <c r="H47" s="227"/>
      <c r="I47" s="182"/>
      <c r="J47" s="182"/>
      <c r="K47" s="182"/>
      <c r="L47" s="182"/>
      <c r="M47" s="182"/>
      <c r="N47" s="187"/>
      <c r="O47" s="189">
        <f t="shared" ref="O47:O70" si="15">E47+H47+K47</f>
        <v>17955000</v>
      </c>
      <c r="P47" s="187"/>
      <c r="Q47" s="182"/>
      <c r="R47" s="182"/>
      <c r="S47" s="182"/>
      <c r="T47" s="261">
        <v>1529500</v>
      </c>
      <c r="U47" s="182"/>
      <c r="V47" s="182"/>
      <c r="W47" s="182"/>
      <c r="X47" s="187"/>
      <c r="Y47" s="187"/>
      <c r="Z47" s="99">
        <f t="shared" ref="Z47:Z70" si="16">SUM(Q47:Y47)</f>
        <v>1529500</v>
      </c>
      <c r="AA47" s="174">
        <f t="shared" ref="AA47:AA70" si="17">O47-Z47</f>
        <v>16425500</v>
      </c>
      <c r="AB47" s="188"/>
    </row>
    <row r="48" spans="1:29" s="2" customFormat="1" ht="15" customHeight="1" x14ac:dyDescent="0.25">
      <c r="A48" s="225" t="s">
        <v>170</v>
      </c>
      <c r="B48" s="173">
        <v>1</v>
      </c>
      <c r="C48" s="173">
        <v>9</v>
      </c>
      <c r="D48" s="226">
        <v>1995000</v>
      </c>
      <c r="E48" s="226">
        <f t="shared" ref="E48:E70" si="18">+B48*C48*D48</f>
        <v>17955000</v>
      </c>
      <c r="F48" s="182"/>
      <c r="G48" s="182"/>
      <c r="H48" s="227"/>
      <c r="I48" s="182"/>
      <c r="J48" s="182"/>
      <c r="K48" s="182"/>
      <c r="L48" s="182"/>
      <c r="M48" s="182"/>
      <c r="N48" s="187"/>
      <c r="O48" s="189">
        <f t="shared" si="15"/>
        <v>17955000</v>
      </c>
      <c r="P48" s="187"/>
      <c r="Q48" s="182"/>
      <c r="R48" s="182"/>
      <c r="S48" s="182"/>
      <c r="T48" s="261">
        <v>1529500</v>
      </c>
      <c r="U48" s="182"/>
      <c r="V48" s="182"/>
      <c r="W48" s="182"/>
      <c r="X48" s="187"/>
      <c r="Y48" s="187"/>
      <c r="Z48" s="99">
        <f t="shared" si="16"/>
        <v>1529500</v>
      </c>
      <c r="AA48" s="174">
        <f t="shared" si="17"/>
        <v>16425500</v>
      </c>
      <c r="AB48" s="188"/>
    </row>
    <row r="49" spans="1:28" s="2" customFormat="1" ht="15" customHeight="1" x14ac:dyDescent="0.25">
      <c r="A49" s="225" t="s">
        <v>171</v>
      </c>
      <c r="B49" s="173">
        <v>1</v>
      </c>
      <c r="C49" s="173">
        <v>9</v>
      </c>
      <c r="D49" s="226">
        <v>1995000</v>
      </c>
      <c r="E49" s="226">
        <f t="shared" si="18"/>
        <v>17955000</v>
      </c>
      <c r="F49" s="182"/>
      <c r="G49" s="182"/>
      <c r="H49" s="227"/>
      <c r="I49" s="182"/>
      <c r="J49" s="182"/>
      <c r="K49" s="182"/>
      <c r="L49" s="182"/>
      <c r="M49" s="182"/>
      <c r="N49" s="187"/>
      <c r="O49" s="189">
        <f t="shared" si="15"/>
        <v>17955000</v>
      </c>
      <c r="P49" s="187"/>
      <c r="Q49" s="182"/>
      <c r="R49" s="182"/>
      <c r="S49" s="182"/>
      <c r="T49" s="261">
        <v>1463000</v>
      </c>
      <c r="U49" s="182"/>
      <c r="V49" s="182"/>
      <c r="W49" s="182"/>
      <c r="X49" s="187"/>
      <c r="Y49" s="187"/>
      <c r="Z49" s="99">
        <f t="shared" si="16"/>
        <v>1463000</v>
      </c>
      <c r="AA49" s="174">
        <f t="shared" si="17"/>
        <v>16492000</v>
      </c>
      <c r="AB49" s="188"/>
    </row>
    <row r="50" spans="1:28" s="2" customFormat="1" ht="15" customHeight="1" x14ac:dyDescent="0.25">
      <c r="A50" s="225" t="s">
        <v>172</v>
      </c>
      <c r="B50" s="173">
        <v>1</v>
      </c>
      <c r="C50" s="173">
        <v>9</v>
      </c>
      <c r="D50" s="226">
        <v>1995000</v>
      </c>
      <c r="E50" s="226">
        <f t="shared" si="18"/>
        <v>17955000</v>
      </c>
      <c r="F50" s="182"/>
      <c r="G50" s="182"/>
      <c r="H50" s="227"/>
      <c r="I50" s="182"/>
      <c r="J50" s="182"/>
      <c r="K50" s="182"/>
      <c r="L50" s="182"/>
      <c r="M50" s="182"/>
      <c r="N50" s="187"/>
      <c r="O50" s="189">
        <f t="shared" si="15"/>
        <v>17955000</v>
      </c>
      <c r="P50" s="187"/>
      <c r="Q50" s="182"/>
      <c r="R50" s="182"/>
      <c r="S50" s="182"/>
      <c r="T50" s="261">
        <v>1463000</v>
      </c>
      <c r="U50" s="182"/>
      <c r="V50" s="182"/>
      <c r="W50" s="182"/>
      <c r="X50" s="187"/>
      <c r="Y50" s="187"/>
      <c r="Z50" s="99">
        <f t="shared" si="16"/>
        <v>1463000</v>
      </c>
      <c r="AA50" s="174">
        <f t="shared" si="17"/>
        <v>16492000</v>
      </c>
      <c r="AB50" s="188"/>
    </row>
    <row r="51" spans="1:28" s="2" customFormat="1" ht="15" customHeight="1" x14ac:dyDescent="0.25">
      <c r="A51" s="225" t="s">
        <v>173</v>
      </c>
      <c r="B51" s="173">
        <v>1</v>
      </c>
      <c r="C51" s="173">
        <v>9</v>
      </c>
      <c r="D51" s="226">
        <v>1995000</v>
      </c>
      <c r="E51" s="226">
        <f t="shared" si="18"/>
        <v>17955000</v>
      </c>
      <c r="F51" s="182"/>
      <c r="G51" s="182"/>
      <c r="H51" s="227"/>
      <c r="I51" s="182"/>
      <c r="J51" s="182"/>
      <c r="K51" s="182"/>
      <c r="L51" s="182"/>
      <c r="M51" s="182"/>
      <c r="N51" s="187"/>
      <c r="O51" s="189">
        <f t="shared" si="15"/>
        <v>17955000</v>
      </c>
      <c r="P51" s="187"/>
      <c r="Q51" s="182"/>
      <c r="R51" s="182"/>
      <c r="S51" s="182"/>
      <c r="T51" s="261">
        <v>1463000</v>
      </c>
      <c r="U51" s="182"/>
      <c r="V51" s="182"/>
      <c r="W51" s="182"/>
      <c r="X51" s="187"/>
      <c r="Y51" s="187"/>
      <c r="Z51" s="99">
        <f t="shared" si="16"/>
        <v>1463000</v>
      </c>
      <c r="AA51" s="174">
        <f t="shared" si="17"/>
        <v>16492000</v>
      </c>
      <c r="AB51" s="188"/>
    </row>
    <row r="52" spans="1:28" s="2" customFormat="1" ht="15" customHeight="1" x14ac:dyDescent="0.25">
      <c r="A52" s="225" t="s">
        <v>174</v>
      </c>
      <c r="B52" s="173">
        <v>1</v>
      </c>
      <c r="C52" s="173">
        <v>9</v>
      </c>
      <c r="D52" s="226">
        <v>1995000</v>
      </c>
      <c r="E52" s="226">
        <f t="shared" si="18"/>
        <v>17955000</v>
      </c>
      <c r="F52" s="182"/>
      <c r="G52" s="182"/>
      <c r="H52" s="227"/>
      <c r="I52" s="182"/>
      <c r="J52" s="182"/>
      <c r="K52" s="182"/>
      <c r="L52" s="182"/>
      <c r="M52" s="182"/>
      <c r="N52" s="187"/>
      <c r="O52" s="189">
        <f t="shared" si="15"/>
        <v>17955000</v>
      </c>
      <c r="P52" s="187"/>
      <c r="Q52" s="182"/>
      <c r="R52" s="182"/>
      <c r="S52" s="182"/>
      <c r="T52" s="261">
        <v>1463000</v>
      </c>
      <c r="U52" s="182"/>
      <c r="V52" s="182"/>
      <c r="W52" s="182"/>
      <c r="X52" s="187"/>
      <c r="Y52" s="187"/>
      <c r="Z52" s="99">
        <f t="shared" si="16"/>
        <v>1463000</v>
      </c>
      <c r="AA52" s="174">
        <f t="shared" si="17"/>
        <v>16492000</v>
      </c>
      <c r="AB52" s="188"/>
    </row>
    <row r="53" spans="1:28" s="2" customFormat="1" ht="15" customHeight="1" x14ac:dyDescent="0.25">
      <c r="A53" s="225" t="s">
        <v>175</v>
      </c>
      <c r="B53" s="173">
        <v>1</v>
      </c>
      <c r="C53" s="173">
        <v>9</v>
      </c>
      <c r="D53" s="226">
        <v>1995000</v>
      </c>
      <c r="E53" s="226">
        <f t="shared" si="18"/>
        <v>17955000</v>
      </c>
      <c r="F53" s="182"/>
      <c r="G53" s="182"/>
      <c r="H53" s="227"/>
      <c r="I53" s="182"/>
      <c r="J53" s="182"/>
      <c r="K53" s="182"/>
      <c r="L53" s="182"/>
      <c r="M53" s="182"/>
      <c r="N53" s="187"/>
      <c r="O53" s="189">
        <f t="shared" si="15"/>
        <v>17955000</v>
      </c>
      <c r="P53" s="187"/>
      <c r="Q53" s="182"/>
      <c r="R53" s="182"/>
      <c r="S53" s="182"/>
      <c r="T53" s="261">
        <v>1463000</v>
      </c>
      <c r="U53" s="182"/>
      <c r="V53" s="182"/>
      <c r="W53" s="182"/>
      <c r="X53" s="187"/>
      <c r="Y53" s="187"/>
      <c r="Z53" s="99">
        <f t="shared" si="16"/>
        <v>1463000</v>
      </c>
      <c r="AA53" s="174">
        <f t="shared" si="17"/>
        <v>16492000</v>
      </c>
      <c r="AB53" s="188"/>
    </row>
    <row r="54" spans="1:28" s="2" customFormat="1" ht="15" customHeight="1" x14ac:dyDescent="0.25">
      <c r="A54" s="225" t="s">
        <v>176</v>
      </c>
      <c r="B54" s="173">
        <v>1</v>
      </c>
      <c r="C54" s="173">
        <v>9</v>
      </c>
      <c r="D54" s="226">
        <v>1995000</v>
      </c>
      <c r="E54" s="226">
        <f t="shared" si="18"/>
        <v>17955000</v>
      </c>
      <c r="F54" s="182"/>
      <c r="G54" s="182"/>
      <c r="H54" s="227"/>
      <c r="I54" s="182"/>
      <c r="J54" s="182"/>
      <c r="K54" s="182"/>
      <c r="L54" s="182"/>
      <c r="M54" s="182"/>
      <c r="N54" s="187"/>
      <c r="O54" s="189">
        <f t="shared" si="15"/>
        <v>17955000</v>
      </c>
      <c r="P54" s="187"/>
      <c r="Q54" s="182"/>
      <c r="R54" s="182"/>
      <c r="S54" s="182"/>
      <c r="T54" s="261">
        <v>1463000</v>
      </c>
      <c r="U54" s="182"/>
      <c r="V54" s="182"/>
      <c r="W54" s="182"/>
      <c r="X54" s="187"/>
      <c r="Y54" s="187"/>
      <c r="Z54" s="99">
        <f t="shared" si="16"/>
        <v>1463000</v>
      </c>
      <c r="AA54" s="174">
        <f t="shared" si="17"/>
        <v>16492000</v>
      </c>
      <c r="AB54" s="188"/>
    </row>
    <row r="55" spans="1:28" s="2" customFormat="1" ht="15" customHeight="1" x14ac:dyDescent="0.25">
      <c r="A55" s="225" t="s">
        <v>177</v>
      </c>
      <c r="B55" s="173">
        <v>1</v>
      </c>
      <c r="C55" s="173">
        <v>9</v>
      </c>
      <c r="D55" s="226">
        <v>1995000</v>
      </c>
      <c r="E55" s="226">
        <f t="shared" si="18"/>
        <v>17955000</v>
      </c>
      <c r="F55" s="182"/>
      <c r="G55" s="182"/>
      <c r="H55" s="227"/>
      <c r="I55" s="182"/>
      <c r="J55" s="182"/>
      <c r="K55" s="182"/>
      <c r="L55" s="182"/>
      <c r="M55" s="182"/>
      <c r="N55" s="187"/>
      <c r="O55" s="189">
        <f t="shared" si="15"/>
        <v>17955000</v>
      </c>
      <c r="P55" s="187"/>
      <c r="Q55" s="182"/>
      <c r="R55" s="182"/>
      <c r="S55" s="182"/>
      <c r="T55" s="261">
        <v>1330000</v>
      </c>
      <c r="U55" s="182"/>
      <c r="V55" s="182"/>
      <c r="W55" s="182"/>
      <c r="X55" s="187"/>
      <c r="Y55" s="187"/>
      <c r="Z55" s="99">
        <f t="shared" si="16"/>
        <v>1330000</v>
      </c>
      <c r="AA55" s="174">
        <f t="shared" si="17"/>
        <v>16625000</v>
      </c>
      <c r="AB55" s="188"/>
    </row>
    <row r="56" spans="1:28" s="2" customFormat="1" ht="15" customHeight="1" x14ac:dyDescent="0.25">
      <c r="A56" s="225" t="s">
        <v>178</v>
      </c>
      <c r="B56" s="173">
        <v>1</v>
      </c>
      <c r="C56" s="173">
        <v>9</v>
      </c>
      <c r="D56" s="226">
        <v>1995000</v>
      </c>
      <c r="E56" s="226">
        <f t="shared" si="18"/>
        <v>17955000</v>
      </c>
      <c r="F56" s="182"/>
      <c r="G56" s="182"/>
      <c r="H56" s="227"/>
      <c r="I56" s="182"/>
      <c r="J56" s="182"/>
      <c r="K56" s="182"/>
      <c r="L56" s="182"/>
      <c r="M56" s="182"/>
      <c r="N56" s="187"/>
      <c r="O56" s="189">
        <f t="shared" si="15"/>
        <v>17955000</v>
      </c>
      <c r="P56" s="187"/>
      <c r="Q56" s="182"/>
      <c r="R56" s="182"/>
      <c r="S56" s="182"/>
      <c r="T56" s="261">
        <v>1130500</v>
      </c>
      <c r="U56" s="182"/>
      <c r="V56" s="182"/>
      <c r="W56" s="182"/>
      <c r="X56" s="187"/>
      <c r="Y56" s="187"/>
      <c r="Z56" s="99">
        <f t="shared" si="16"/>
        <v>1130500</v>
      </c>
      <c r="AA56" s="174">
        <f t="shared" si="17"/>
        <v>16824500</v>
      </c>
      <c r="AB56" s="188"/>
    </row>
    <row r="57" spans="1:28" s="2" customFormat="1" ht="15" customHeight="1" x14ac:dyDescent="0.25">
      <c r="A57" s="225" t="s">
        <v>179</v>
      </c>
      <c r="B57" s="173">
        <v>1</v>
      </c>
      <c r="C57" s="173">
        <v>9</v>
      </c>
      <c r="D57" s="226">
        <v>1995000</v>
      </c>
      <c r="E57" s="226">
        <f t="shared" si="18"/>
        <v>17955000</v>
      </c>
      <c r="F57" s="182"/>
      <c r="G57" s="182"/>
      <c r="H57" s="227"/>
      <c r="I57" s="182"/>
      <c r="J57" s="182"/>
      <c r="K57" s="182"/>
      <c r="L57" s="182"/>
      <c r="M57" s="182"/>
      <c r="N57" s="187"/>
      <c r="O57" s="189">
        <f t="shared" si="15"/>
        <v>17955000</v>
      </c>
      <c r="P57" s="187"/>
      <c r="Q57" s="182"/>
      <c r="R57" s="182"/>
      <c r="S57" s="182"/>
      <c r="T57" s="261">
        <v>1064000</v>
      </c>
      <c r="U57" s="182"/>
      <c r="V57" s="182"/>
      <c r="W57" s="182"/>
      <c r="X57" s="187"/>
      <c r="Y57" s="187"/>
      <c r="Z57" s="99">
        <f t="shared" si="16"/>
        <v>1064000</v>
      </c>
      <c r="AA57" s="174">
        <f t="shared" si="17"/>
        <v>16891000</v>
      </c>
      <c r="AB57" s="188"/>
    </row>
    <row r="58" spans="1:28" s="2" customFormat="1" ht="15" customHeight="1" x14ac:dyDescent="0.25">
      <c r="A58" s="225" t="s">
        <v>180</v>
      </c>
      <c r="B58" s="173">
        <v>1</v>
      </c>
      <c r="C58" s="173">
        <v>9</v>
      </c>
      <c r="D58" s="226">
        <v>1995000</v>
      </c>
      <c r="E58" s="226">
        <f t="shared" si="18"/>
        <v>17955000</v>
      </c>
      <c r="F58" s="182"/>
      <c r="G58" s="182"/>
      <c r="H58" s="227"/>
      <c r="I58" s="182"/>
      <c r="J58" s="182"/>
      <c r="K58" s="182"/>
      <c r="L58" s="182"/>
      <c r="M58" s="182"/>
      <c r="N58" s="187"/>
      <c r="O58" s="189">
        <f t="shared" si="15"/>
        <v>17955000</v>
      </c>
      <c r="P58" s="187"/>
      <c r="Q58" s="182"/>
      <c r="R58" s="182"/>
      <c r="S58" s="182"/>
      <c r="T58" s="261">
        <v>399000</v>
      </c>
      <c r="U58" s="182"/>
      <c r="V58" s="182"/>
      <c r="W58" s="182"/>
      <c r="X58" s="187"/>
      <c r="Y58" s="187"/>
      <c r="Z58" s="99">
        <f t="shared" si="16"/>
        <v>399000</v>
      </c>
      <c r="AA58" s="174">
        <f t="shared" si="17"/>
        <v>17556000</v>
      </c>
      <c r="AB58" s="188"/>
    </row>
    <row r="59" spans="1:28" s="2" customFormat="1" ht="15" customHeight="1" x14ac:dyDescent="0.25">
      <c r="A59" s="172" t="s">
        <v>197</v>
      </c>
      <c r="B59" s="173">
        <v>1</v>
      </c>
      <c r="C59" s="173">
        <v>9</v>
      </c>
      <c r="D59" s="226">
        <v>1995000</v>
      </c>
      <c r="E59" s="226">
        <f t="shared" si="18"/>
        <v>17955000</v>
      </c>
      <c r="F59" s="182"/>
      <c r="G59" s="182"/>
      <c r="H59" s="227"/>
      <c r="I59" s="182"/>
      <c r="J59" s="182"/>
      <c r="K59" s="182"/>
      <c r="L59" s="182"/>
      <c r="M59" s="182"/>
      <c r="N59" s="187"/>
      <c r="O59" s="189">
        <f t="shared" si="15"/>
        <v>17955000</v>
      </c>
      <c r="P59" s="187"/>
      <c r="Q59" s="182"/>
      <c r="R59" s="182"/>
      <c r="S59" s="182"/>
      <c r="T59" s="261">
        <v>332500</v>
      </c>
      <c r="U59" s="182"/>
      <c r="V59" s="182"/>
      <c r="W59" s="182"/>
      <c r="X59" s="187"/>
      <c r="Y59" s="187"/>
      <c r="Z59" s="99">
        <f t="shared" si="16"/>
        <v>332500</v>
      </c>
      <c r="AA59" s="174">
        <f t="shared" si="17"/>
        <v>17622500</v>
      </c>
      <c r="AB59" s="188"/>
    </row>
    <row r="60" spans="1:28" s="2" customFormat="1" ht="15" customHeight="1" x14ac:dyDescent="0.25">
      <c r="A60" s="172" t="s">
        <v>196</v>
      </c>
      <c r="B60" s="173">
        <v>1</v>
      </c>
      <c r="C60" s="173">
        <v>9</v>
      </c>
      <c r="D60" s="226">
        <v>1995000</v>
      </c>
      <c r="E60" s="226">
        <f t="shared" si="18"/>
        <v>17955000</v>
      </c>
      <c r="F60" s="182"/>
      <c r="G60" s="182"/>
      <c r="H60" s="227"/>
      <c r="I60" s="182"/>
      <c r="J60" s="182"/>
      <c r="K60" s="182"/>
      <c r="L60" s="182"/>
      <c r="M60" s="182"/>
      <c r="N60" s="187"/>
      <c r="O60" s="189">
        <f t="shared" si="15"/>
        <v>17955000</v>
      </c>
      <c r="P60" s="187"/>
      <c r="Q60" s="182"/>
      <c r="R60" s="182"/>
      <c r="S60" s="182"/>
      <c r="T60" s="261">
        <v>332500</v>
      </c>
      <c r="U60" s="182"/>
      <c r="V60" s="182"/>
      <c r="W60" s="182"/>
      <c r="X60" s="187"/>
      <c r="Y60" s="187"/>
      <c r="Z60" s="99">
        <f t="shared" si="16"/>
        <v>332500</v>
      </c>
      <c r="AA60" s="174">
        <f t="shared" si="17"/>
        <v>17622500</v>
      </c>
      <c r="AB60" s="188"/>
    </row>
    <row r="61" spans="1:28" s="2" customFormat="1" ht="15" customHeight="1" x14ac:dyDescent="0.25">
      <c r="A61" s="172"/>
      <c r="B61" s="173"/>
      <c r="C61" s="173"/>
      <c r="D61" s="226"/>
      <c r="E61" s="226"/>
      <c r="F61" s="182"/>
      <c r="G61" s="182"/>
      <c r="H61" s="227"/>
      <c r="I61" s="182"/>
      <c r="J61" s="182"/>
      <c r="K61" s="182"/>
      <c r="L61" s="182"/>
      <c r="M61" s="182"/>
      <c r="N61" s="187"/>
      <c r="O61" s="189"/>
      <c r="P61" s="187"/>
      <c r="Q61" s="182"/>
      <c r="R61" s="182"/>
      <c r="S61" s="182"/>
      <c r="T61" s="182"/>
      <c r="U61" s="182"/>
      <c r="V61" s="182"/>
      <c r="W61" s="182"/>
      <c r="X61" s="187"/>
      <c r="Y61" s="187"/>
      <c r="Z61" s="99">
        <f t="shared" si="16"/>
        <v>0</v>
      </c>
      <c r="AA61" s="174"/>
      <c r="AB61" s="188"/>
    </row>
    <row r="62" spans="1:28" s="2" customFormat="1" ht="15" customHeight="1" x14ac:dyDescent="0.25">
      <c r="A62" s="172"/>
      <c r="B62" s="173"/>
      <c r="C62" s="173"/>
      <c r="D62" s="226"/>
      <c r="E62" s="226">
        <f t="shared" si="18"/>
        <v>0</v>
      </c>
      <c r="F62" s="182"/>
      <c r="G62" s="182"/>
      <c r="H62" s="227"/>
      <c r="I62" s="182"/>
      <c r="J62" s="182"/>
      <c r="K62" s="182"/>
      <c r="L62" s="182"/>
      <c r="M62" s="182"/>
      <c r="N62" s="187"/>
      <c r="O62" s="189">
        <f t="shared" si="15"/>
        <v>0</v>
      </c>
      <c r="P62" s="187"/>
      <c r="Q62" s="182"/>
      <c r="R62" s="182"/>
      <c r="S62" s="182"/>
      <c r="T62" s="182"/>
      <c r="U62" s="182"/>
      <c r="V62" s="182"/>
      <c r="W62" s="182"/>
      <c r="X62" s="187"/>
      <c r="Y62" s="187"/>
      <c r="Z62" s="99">
        <f t="shared" si="16"/>
        <v>0</v>
      </c>
      <c r="AA62" s="174">
        <f t="shared" si="17"/>
        <v>0</v>
      </c>
      <c r="AB62" s="188"/>
    </row>
    <row r="63" spans="1:28" s="2" customFormat="1" ht="15" customHeight="1" x14ac:dyDescent="0.25">
      <c r="A63" s="172"/>
      <c r="B63" s="173"/>
      <c r="C63" s="173"/>
      <c r="D63" s="226"/>
      <c r="E63" s="226">
        <f t="shared" si="18"/>
        <v>0</v>
      </c>
      <c r="F63" s="182"/>
      <c r="G63" s="182"/>
      <c r="H63" s="227"/>
      <c r="I63" s="182"/>
      <c r="J63" s="182"/>
      <c r="K63" s="182"/>
      <c r="L63" s="182"/>
      <c r="M63" s="182"/>
      <c r="N63" s="187"/>
      <c r="O63" s="189">
        <f t="shared" si="15"/>
        <v>0</v>
      </c>
      <c r="P63" s="187"/>
      <c r="Q63" s="182"/>
      <c r="R63" s="182"/>
      <c r="S63" s="182"/>
      <c r="T63" s="182"/>
      <c r="U63" s="182"/>
      <c r="V63" s="182"/>
      <c r="W63" s="182"/>
      <c r="X63" s="187"/>
      <c r="Y63" s="187"/>
      <c r="Z63" s="99">
        <f t="shared" si="16"/>
        <v>0</v>
      </c>
      <c r="AA63" s="174">
        <f t="shared" si="17"/>
        <v>0</v>
      </c>
      <c r="AB63" s="188"/>
    </row>
    <row r="64" spans="1:28" s="2" customFormat="1" ht="15" customHeight="1" x14ac:dyDescent="0.25">
      <c r="A64" s="172"/>
      <c r="B64" s="173"/>
      <c r="C64" s="173"/>
      <c r="D64" s="226"/>
      <c r="E64" s="226">
        <f t="shared" si="18"/>
        <v>0</v>
      </c>
      <c r="F64" s="182"/>
      <c r="G64" s="182"/>
      <c r="H64" s="227"/>
      <c r="I64" s="182"/>
      <c r="J64" s="182"/>
      <c r="K64" s="182"/>
      <c r="L64" s="182"/>
      <c r="M64" s="182"/>
      <c r="N64" s="187"/>
      <c r="O64" s="189">
        <f t="shared" si="15"/>
        <v>0</v>
      </c>
      <c r="P64" s="187"/>
      <c r="Q64" s="182"/>
      <c r="R64" s="182"/>
      <c r="S64" s="182"/>
      <c r="T64" s="182"/>
      <c r="U64" s="182"/>
      <c r="V64" s="182"/>
      <c r="W64" s="182"/>
      <c r="X64" s="187"/>
      <c r="Y64" s="187"/>
      <c r="Z64" s="99">
        <f t="shared" si="16"/>
        <v>0</v>
      </c>
      <c r="AA64" s="174">
        <f t="shared" si="17"/>
        <v>0</v>
      </c>
      <c r="AB64" s="188"/>
    </row>
    <row r="65" spans="1:28" s="2" customFormat="1" ht="15" customHeight="1" x14ac:dyDescent="0.25">
      <c r="A65" s="172"/>
      <c r="B65" s="173"/>
      <c r="C65" s="173"/>
      <c r="D65" s="226"/>
      <c r="E65" s="226">
        <f t="shared" si="18"/>
        <v>0</v>
      </c>
      <c r="F65" s="182"/>
      <c r="G65" s="182"/>
      <c r="H65" s="227"/>
      <c r="I65" s="182"/>
      <c r="J65" s="182"/>
      <c r="K65" s="182"/>
      <c r="L65" s="182"/>
      <c r="M65" s="182"/>
      <c r="N65" s="187"/>
      <c r="O65" s="189">
        <f t="shared" si="15"/>
        <v>0</v>
      </c>
      <c r="P65" s="187"/>
      <c r="Q65" s="182"/>
      <c r="R65" s="182"/>
      <c r="S65" s="182"/>
      <c r="T65" s="182"/>
      <c r="U65" s="182"/>
      <c r="V65" s="182"/>
      <c r="W65" s="182"/>
      <c r="X65" s="187"/>
      <c r="Y65" s="187"/>
      <c r="Z65" s="99">
        <f t="shared" si="16"/>
        <v>0</v>
      </c>
      <c r="AA65" s="174">
        <f t="shared" si="17"/>
        <v>0</v>
      </c>
      <c r="AB65" s="188"/>
    </row>
    <row r="66" spans="1:28" s="2" customFormat="1" ht="15" customHeight="1" x14ac:dyDescent="0.25">
      <c r="A66" s="172"/>
      <c r="B66" s="173"/>
      <c r="C66" s="173"/>
      <c r="D66" s="226"/>
      <c r="E66" s="226">
        <f t="shared" si="18"/>
        <v>0</v>
      </c>
      <c r="F66" s="182"/>
      <c r="G66" s="182"/>
      <c r="H66" s="227"/>
      <c r="I66" s="182"/>
      <c r="J66" s="182"/>
      <c r="K66" s="182"/>
      <c r="L66" s="182"/>
      <c r="M66" s="182"/>
      <c r="N66" s="187"/>
      <c r="O66" s="189">
        <f t="shared" si="15"/>
        <v>0</v>
      </c>
      <c r="P66" s="187"/>
      <c r="Q66" s="182"/>
      <c r="R66" s="182"/>
      <c r="S66" s="182"/>
      <c r="T66" s="182"/>
      <c r="U66" s="182"/>
      <c r="V66" s="182"/>
      <c r="W66" s="182"/>
      <c r="X66" s="187"/>
      <c r="Y66" s="187"/>
      <c r="Z66" s="99">
        <f t="shared" si="16"/>
        <v>0</v>
      </c>
      <c r="AA66" s="174">
        <f t="shared" si="17"/>
        <v>0</v>
      </c>
      <c r="AB66" s="188"/>
    </row>
    <row r="67" spans="1:28" s="2" customFormat="1" ht="15" customHeight="1" x14ac:dyDescent="0.25">
      <c r="A67" s="172"/>
      <c r="B67" s="173"/>
      <c r="C67" s="173"/>
      <c r="D67" s="226"/>
      <c r="E67" s="226">
        <f t="shared" si="18"/>
        <v>0</v>
      </c>
      <c r="F67" s="182"/>
      <c r="G67" s="182"/>
      <c r="H67" s="227"/>
      <c r="I67" s="182"/>
      <c r="J67" s="182"/>
      <c r="K67" s="182"/>
      <c r="L67" s="182"/>
      <c r="M67" s="182"/>
      <c r="N67" s="187"/>
      <c r="O67" s="189">
        <f t="shared" si="15"/>
        <v>0</v>
      </c>
      <c r="P67" s="187"/>
      <c r="Q67" s="182"/>
      <c r="R67" s="182"/>
      <c r="S67" s="182"/>
      <c r="T67" s="182"/>
      <c r="U67" s="182"/>
      <c r="V67" s="182"/>
      <c r="W67" s="182"/>
      <c r="X67" s="187"/>
      <c r="Y67" s="187"/>
      <c r="Z67" s="99">
        <f t="shared" si="16"/>
        <v>0</v>
      </c>
      <c r="AA67" s="174">
        <f t="shared" si="17"/>
        <v>0</v>
      </c>
      <c r="AB67" s="188"/>
    </row>
    <row r="68" spans="1:28" s="2" customFormat="1" ht="15" customHeight="1" x14ac:dyDescent="0.25">
      <c r="A68" s="172"/>
      <c r="B68" s="173"/>
      <c r="C68" s="173"/>
      <c r="D68" s="226"/>
      <c r="E68" s="226">
        <f t="shared" si="18"/>
        <v>0</v>
      </c>
      <c r="F68" s="182"/>
      <c r="G68" s="182"/>
      <c r="H68" s="227"/>
      <c r="I68" s="182"/>
      <c r="J68" s="182"/>
      <c r="K68" s="182"/>
      <c r="L68" s="182"/>
      <c r="M68" s="182"/>
      <c r="N68" s="187"/>
      <c r="O68" s="189">
        <f t="shared" si="15"/>
        <v>0</v>
      </c>
      <c r="P68" s="187"/>
      <c r="Q68" s="182"/>
      <c r="R68" s="182"/>
      <c r="S68" s="182"/>
      <c r="T68" s="182"/>
      <c r="U68" s="182"/>
      <c r="V68" s="182"/>
      <c r="W68" s="182"/>
      <c r="X68" s="187"/>
      <c r="Y68" s="187"/>
      <c r="Z68" s="99">
        <f t="shared" si="16"/>
        <v>0</v>
      </c>
      <c r="AA68" s="174">
        <f t="shared" si="17"/>
        <v>0</v>
      </c>
      <c r="AB68" s="188"/>
    </row>
    <row r="69" spans="1:28" s="2" customFormat="1" ht="15" customHeight="1" x14ac:dyDescent="0.25">
      <c r="A69" s="172"/>
      <c r="B69" s="173"/>
      <c r="C69" s="173"/>
      <c r="D69" s="226"/>
      <c r="E69" s="226">
        <f t="shared" si="18"/>
        <v>0</v>
      </c>
      <c r="F69" s="182"/>
      <c r="G69" s="182"/>
      <c r="H69" s="227"/>
      <c r="I69" s="182"/>
      <c r="J69" s="182"/>
      <c r="K69" s="182"/>
      <c r="L69" s="182"/>
      <c r="M69" s="182"/>
      <c r="N69" s="187"/>
      <c r="O69" s="189">
        <f t="shared" si="15"/>
        <v>0</v>
      </c>
      <c r="P69" s="187"/>
      <c r="Q69" s="182"/>
      <c r="R69" s="182"/>
      <c r="S69" s="182"/>
      <c r="T69" s="182"/>
      <c r="U69" s="182"/>
      <c r="V69" s="182"/>
      <c r="W69" s="182"/>
      <c r="X69" s="187"/>
      <c r="Y69" s="187"/>
      <c r="Z69" s="99">
        <f t="shared" si="16"/>
        <v>0</v>
      </c>
      <c r="AA69" s="174">
        <f t="shared" si="17"/>
        <v>0</v>
      </c>
      <c r="AB69" s="188"/>
    </row>
    <row r="70" spans="1:28" s="2" customFormat="1" ht="15" customHeight="1" x14ac:dyDescent="0.25">
      <c r="A70" s="172"/>
      <c r="B70" s="173"/>
      <c r="C70" s="173"/>
      <c r="D70" s="226"/>
      <c r="E70" s="226">
        <f t="shared" si="18"/>
        <v>0</v>
      </c>
      <c r="F70" s="182"/>
      <c r="G70" s="182"/>
      <c r="H70" s="227"/>
      <c r="I70" s="182"/>
      <c r="J70" s="182"/>
      <c r="K70" s="182"/>
      <c r="L70" s="182"/>
      <c r="M70" s="182"/>
      <c r="N70" s="187"/>
      <c r="O70" s="189">
        <f t="shared" si="15"/>
        <v>0</v>
      </c>
      <c r="P70" s="187"/>
      <c r="Q70" s="182"/>
      <c r="R70" s="182"/>
      <c r="S70" s="182"/>
      <c r="T70" s="182"/>
      <c r="U70" s="182"/>
      <c r="V70" s="182"/>
      <c r="W70" s="182"/>
      <c r="X70" s="187"/>
      <c r="Y70" s="187"/>
      <c r="Z70" s="99">
        <f t="shared" si="16"/>
        <v>0</v>
      </c>
      <c r="AA70" s="174">
        <f t="shared" si="17"/>
        <v>0</v>
      </c>
      <c r="AB70" s="188"/>
    </row>
    <row r="71" spans="1:28" s="2" customFormat="1" ht="15" customHeight="1" x14ac:dyDescent="0.25">
      <c r="A71" s="172"/>
      <c r="B71" s="173"/>
      <c r="C71" s="173"/>
      <c r="D71" s="226"/>
      <c r="E71" s="227"/>
      <c r="F71" s="182"/>
      <c r="G71" s="182"/>
      <c r="H71" s="227"/>
      <c r="I71" s="182"/>
      <c r="J71" s="182"/>
      <c r="K71" s="182"/>
      <c r="L71" s="182"/>
      <c r="M71" s="182"/>
      <c r="N71" s="187"/>
      <c r="O71" s="187"/>
      <c r="P71" s="187"/>
      <c r="Q71" s="182"/>
      <c r="R71" s="182"/>
      <c r="S71" s="182"/>
      <c r="T71" s="187"/>
      <c r="U71" s="182"/>
      <c r="V71" s="182"/>
      <c r="W71" s="182"/>
      <c r="X71" s="187"/>
      <c r="Y71" s="187"/>
      <c r="Z71" s="187"/>
      <c r="AA71" s="204"/>
      <c r="AB71" s="188"/>
    </row>
    <row r="72" spans="1:28" ht="15" customHeight="1" x14ac:dyDescent="0.25">
      <c r="A72" s="93" t="s">
        <v>20</v>
      </c>
      <c r="B72" s="101">
        <v>1</v>
      </c>
      <c r="C72" s="101">
        <v>12</v>
      </c>
      <c r="D72" s="219">
        <v>3600000</v>
      </c>
      <c r="E72" s="220">
        <f>+B72*C72*D72</f>
        <v>43200000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94">
        <f>+K73</f>
        <v>0</v>
      </c>
      <c r="L72" s="102">
        <v>0</v>
      </c>
      <c r="M72" s="102">
        <v>0</v>
      </c>
      <c r="N72" s="94">
        <f>+E72</f>
        <v>43200000</v>
      </c>
      <c r="O72" s="250">
        <f>O73</f>
        <v>16200000</v>
      </c>
      <c r="P72" s="94">
        <f>N72-O72</f>
        <v>27000000</v>
      </c>
      <c r="Q72" s="94">
        <f>+Q73</f>
        <v>2640000</v>
      </c>
      <c r="R72" s="94">
        <f t="shared" ref="R72:S72" si="19">+R73</f>
        <v>3600000</v>
      </c>
      <c r="S72" s="94">
        <f t="shared" si="19"/>
        <v>3600000</v>
      </c>
      <c r="T72" s="94">
        <f t="shared" ref="T72:Y72" si="20">T73</f>
        <v>3600000</v>
      </c>
      <c r="U72" s="102">
        <f t="shared" si="20"/>
        <v>0</v>
      </c>
      <c r="V72" s="102">
        <f t="shared" si="20"/>
        <v>0</v>
      </c>
      <c r="W72" s="102">
        <f t="shared" si="20"/>
        <v>0</v>
      </c>
      <c r="X72" s="94">
        <f t="shared" si="20"/>
        <v>0</v>
      </c>
      <c r="Y72" s="94">
        <f t="shared" si="20"/>
        <v>0</v>
      </c>
      <c r="Z72" s="121">
        <f>SUM(Q72:Y72)</f>
        <v>13440000</v>
      </c>
      <c r="AA72" s="202">
        <f>+AA73</f>
        <v>2760000</v>
      </c>
      <c r="AB72" s="13"/>
    </row>
    <row r="73" spans="1:28" ht="15" customHeight="1" x14ac:dyDescent="0.25">
      <c r="A73" s="35" t="s">
        <v>194</v>
      </c>
      <c r="B73" s="173">
        <v>1</v>
      </c>
      <c r="C73" s="173">
        <v>4.5</v>
      </c>
      <c r="D73" s="226">
        <v>3600000</v>
      </c>
      <c r="E73" s="222">
        <f>+B73*C73*D73</f>
        <v>16200000</v>
      </c>
      <c r="F73" s="189"/>
      <c r="G73" s="189"/>
      <c r="H73" s="189"/>
      <c r="I73" s="189"/>
      <c r="J73" s="189"/>
      <c r="K73" s="189">
        <v>0</v>
      </c>
      <c r="L73" s="189"/>
      <c r="M73" s="189"/>
      <c r="N73" s="189"/>
      <c r="O73" s="189">
        <f t="shared" ref="O73" si="21">E73+H73+K73</f>
        <v>16200000</v>
      </c>
      <c r="P73" s="189"/>
      <c r="Q73" s="99">
        <v>2640000</v>
      </c>
      <c r="R73" s="99">
        <v>3600000</v>
      </c>
      <c r="S73" s="99">
        <v>3600000</v>
      </c>
      <c r="T73" s="260">
        <f>960000+2640000</f>
        <v>3600000</v>
      </c>
      <c r="U73" s="99">
        <v>0</v>
      </c>
      <c r="V73" s="99">
        <v>0</v>
      </c>
      <c r="W73" s="99">
        <v>0</v>
      </c>
      <c r="X73" s="99">
        <v>0</v>
      </c>
      <c r="Y73" s="99"/>
      <c r="Z73" s="99">
        <f>SUM(Q73:Y73)</f>
        <v>13440000</v>
      </c>
      <c r="AA73" s="174">
        <f t="shared" ref="AA73" si="22">O73-Z73</f>
        <v>2760000</v>
      </c>
      <c r="AB73" s="13"/>
    </row>
    <row r="74" spans="1:28" ht="15" customHeight="1" x14ac:dyDescent="0.25">
      <c r="A74" s="171"/>
      <c r="B74" s="98"/>
      <c r="C74" s="98"/>
      <c r="D74" s="221"/>
      <c r="E74" s="222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13"/>
    </row>
    <row r="75" spans="1:28" ht="15" customHeight="1" x14ac:dyDescent="0.25">
      <c r="A75" s="93" t="s">
        <v>125</v>
      </c>
      <c r="B75" s="101">
        <v>1</v>
      </c>
      <c r="C75" s="101">
        <v>12</v>
      </c>
      <c r="D75" s="219">
        <v>4110000</v>
      </c>
      <c r="E75" s="220">
        <f>+B75*C75*D75</f>
        <v>49320000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f>+K76</f>
        <v>0</v>
      </c>
      <c r="L75" s="102">
        <v>0</v>
      </c>
      <c r="M75" s="102">
        <v>0</v>
      </c>
      <c r="N75" s="94">
        <f>+E75</f>
        <v>49320000</v>
      </c>
      <c r="O75" s="250">
        <f>O76</f>
        <v>18495000</v>
      </c>
      <c r="P75" s="94">
        <f>N75-O75</f>
        <v>30825000</v>
      </c>
      <c r="Q75" s="94">
        <f>+Q76</f>
        <v>3014000</v>
      </c>
      <c r="R75" s="94">
        <f t="shared" ref="R75:S75" si="23">+R76</f>
        <v>4110000</v>
      </c>
      <c r="S75" s="94">
        <f t="shared" si="23"/>
        <v>4110000</v>
      </c>
      <c r="T75" s="94">
        <f t="shared" ref="T75:Y75" si="24">T76</f>
        <v>4110000</v>
      </c>
      <c r="U75" s="94">
        <f t="shared" si="24"/>
        <v>0</v>
      </c>
      <c r="V75" s="94">
        <f t="shared" si="24"/>
        <v>0</v>
      </c>
      <c r="W75" s="94">
        <f t="shared" si="24"/>
        <v>0</v>
      </c>
      <c r="X75" s="94">
        <f t="shared" si="24"/>
        <v>0</v>
      </c>
      <c r="Y75" s="94">
        <f t="shared" si="24"/>
        <v>0</v>
      </c>
      <c r="Z75" s="121">
        <f>SUM(Q75:Y75)</f>
        <v>15344000</v>
      </c>
      <c r="AA75" s="202">
        <f>+AA76</f>
        <v>3151000</v>
      </c>
      <c r="AB75" s="13"/>
    </row>
    <row r="76" spans="1:28" ht="15" customHeight="1" x14ac:dyDescent="0.25">
      <c r="A76" s="35" t="s">
        <v>195</v>
      </c>
      <c r="B76" s="98">
        <v>1</v>
      </c>
      <c r="C76" s="98">
        <v>4.5</v>
      </c>
      <c r="D76" s="221">
        <v>4110000</v>
      </c>
      <c r="E76" s="189">
        <f>+B76*C76*D76</f>
        <v>18495000</v>
      </c>
      <c r="F76" s="189"/>
      <c r="G76" s="189"/>
      <c r="H76" s="189"/>
      <c r="I76" s="189"/>
      <c r="J76" s="189"/>
      <c r="K76" s="189"/>
      <c r="L76" s="189"/>
      <c r="M76" s="189"/>
      <c r="N76" s="189"/>
      <c r="O76" s="189">
        <f t="shared" ref="O76" si="25">E76+H76+K76</f>
        <v>18495000</v>
      </c>
      <c r="P76" s="189"/>
      <c r="Q76" s="99">
        <v>3014000</v>
      </c>
      <c r="R76" s="99">
        <v>4110000</v>
      </c>
      <c r="S76" s="99">
        <v>4110000</v>
      </c>
      <c r="T76" s="260">
        <f>1096000+3014000</f>
        <v>4110000</v>
      </c>
      <c r="U76" s="99">
        <v>0</v>
      </c>
      <c r="V76" s="99">
        <v>0</v>
      </c>
      <c r="W76" s="99">
        <v>0</v>
      </c>
      <c r="X76" s="99">
        <v>0</v>
      </c>
      <c r="Y76" s="99"/>
      <c r="Z76" s="99">
        <f>SUM(Q76:Y76)</f>
        <v>15344000</v>
      </c>
      <c r="AA76" s="174">
        <f t="shared" ref="AA76" si="26">O76-Z76</f>
        <v>3151000</v>
      </c>
      <c r="AB76" s="13"/>
    </row>
    <row r="77" spans="1:28" ht="15" customHeight="1" x14ac:dyDescent="0.25">
      <c r="A77" s="93" t="s">
        <v>125</v>
      </c>
      <c r="B77" s="101">
        <v>2</v>
      </c>
      <c r="C77" s="101">
        <v>9</v>
      </c>
      <c r="D77" s="219">
        <v>4110000</v>
      </c>
      <c r="E77" s="94">
        <f>+B77*C77*D77</f>
        <v>73980000</v>
      </c>
      <c r="F77" s="102"/>
      <c r="G77" s="102"/>
      <c r="H77" s="102"/>
      <c r="I77" s="102"/>
      <c r="J77" s="102"/>
      <c r="K77" s="102"/>
      <c r="L77" s="102"/>
      <c r="M77" s="102"/>
      <c r="N77" s="94">
        <f>+E77</f>
        <v>73980000</v>
      </c>
      <c r="O77" s="102">
        <f>SUM(O78:O79)</f>
        <v>36990000</v>
      </c>
      <c r="P77" s="94">
        <f>N77-O77</f>
        <v>36990000</v>
      </c>
      <c r="Q77" s="102"/>
      <c r="R77" s="102"/>
      <c r="S77" s="102"/>
      <c r="T77" s="94">
        <f>+T78</f>
        <v>2329000</v>
      </c>
      <c r="U77" s="102"/>
      <c r="V77" s="102"/>
      <c r="W77" s="102"/>
      <c r="X77" s="102"/>
      <c r="Y77" s="102"/>
      <c r="Z77" s="121">
        <f>SUM(Q77:Y77)</f>
        <v>2329000</v>
      </c>
      <c r="AA77" s="202">
        <f>SUM(AA78:AA79)</f>
        <v>34661000</v>
      </c>
      <c r="AB77" s="13"/>
    </row>
    <row r="78" spans="1:28" ht="15" customHeight="1" x14ac:dyDescent="0.25">
      <c r="A78" s="225" t="s">
        <v>181</v>
      </c>
      <c r="B78" s="98">
        <v>1</v>
      </c>
      <c r="C78" s="98">
        <v>9</v>
      </c>
      <c r="D78" s="221">
        <v>4110000</v>
      </c>
      <c r="E78" s="189">
        <f>+B78*C78*D78</f>
        <v>36990000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2">
        <f t="shared" ref="O78:O79" si="27">E78+H78</f>
        <v>36990000</v>
      </c>
      <c r="P78" s="189"/>
      <c r="Q78" s="99"/>
      <c r="R78" s="99"/>
      <c r="S78" s="99"/>
      <c r="T78" s="260">
        <v>2329000</v>
      </c>
      <c r="U78" s="99"/>
      <c r="V78" s="99"/>
      <c r="W78" s="99"/>
      <c r="X78" s="99"/>
      <c r="Y78" s="99"/>
      <c r="Z78" s="99">
        <f>SUM(Q78:Y78)</f>
        <v>2329000</v>
      </c>
      <c r="AA78" s="174">
        <f t="shared" ref="AA78:AA84" si="28">O78-Z78</f>
        <v>34661000</v>
      </c>
      <c r="AB78" s="13"/>
    </row>
    <row r="79" spans="1:28" ht="15" customHeight="1" x14ac:dyDescent="0.25">
      <c r="A79" s="171"/>
      <c r="B79" s="98"/>
      <c r="C79" s="98"/>
      <c r="D79" s="221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2">
        <f t="shared" si="27"/>
        <v>0</v>
      </c>
      <c r="P79" s="1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174">
        <f t="shared" si="28"/>
        <v>0</v>
      </c>
      <c r="AB79" s="13"/>
    </row>
    <row r="80" spans="1:28" ht="15" customHeight="1" x14ac:dyDescent="0.25">
      <c r="A80" s="93" t="s">
        <v>126</v>
      </c>
      <c r="B80" s="101">
        <v>4</v>
      </c>
      <c r="C80" s="101">
        <v>9</v>
      </c>
      <c r="D80" s="219">
        <v>1995000</v>
      </c>
      <c r="E80" s="220">
        <v>39900000</v>
      </c>
      <c r="F80" s="102">
        <v>0</v>
      </c>
      <c r="G80" s="102">
        <v>0</v>
      </c>
      <c r="H80" s="94">
        <f>+H85</f>
        <v>0</v>
      </c>
      <c r="I80" s="102">
        <v>0</v>
      </c>
      <c r="J80" s="102">
        <v>0</v>
      </c>
      <c r="K80" s="102">
        <f>+K85</f>
        <v>0</v>
      </c>
      <c r="L80" s="102">
        <v>0</v>
      </c>
      <c r="M80" s="102">
        <v>0</v>
      </c>
      <c r="N80" s="94">
        <f>+E80</f>
        <v>39900000</v>
      </c>
      <c r="O80" s="94">
        <f>SUM(O81:O84)</f>
        <v>29925000</v>
      </c>
      <c r="P80" s="94">
        <f>N80-O80</f>
        <v>9975000</v>
      </c>
      <c r="Q80" s="102">
        <f>+Q85</f>
        <v>0</v>
      </c>
      <c r="R80" s="102">
        <f t="shared" ref="R80:Y80" si="29">R85</f>
        <v>0</v>
      </c>
      <c r="S80" s="102">
        <f t="shared" si="29"/>
        <v>0</v>
      </c>
      <c r="T80" s="94">
        <f>+T81+T82+T83+T84</f>
        <v>1452360.0000000002</v>
      </c>
      <c r="U80" s="102">
        <f t="shared" si="29"/>
        <v>0</v>
      </c>
      <c r="V80" s="102">
        <f t="shared" si="29"/>
        <v>0</v>
      </c>
      <c r="W80" s="102">
        <f t="shared" si="29"/>
        <v>0</v>
      </c>
      <c r="X80" s="94">
        <f t="shared" si="29"/>
        <v>0</v>
      </c>
      <c r="Y80" s="94">
        <f t="shared" si="29"/>
        <v>0</v>
      </c>
      <c r="Z80" s="121">
        <f>SUM(Q80:Y80)</f>
        <v>1452360.0000000002</v>
      </c>
      <c r="AA80" s="202">
        <f>SUM(AA81:AA84)</f>
        <v>28472640</v>
      </c>
      <c r="AB80" s="13"/>
    </row>
    <row r="81" spans="1:30" s="2" customFormat="1" ht="15" customHeight="1" x14ac:dyDescent="0.25">
      <c r="A81" s="211" t="s">
        <v>182</v>
      </c>
      <c r="B81" s="173">
        <v>1</v>
      </c>
      <c r="C81" s="173">
        <v>9</v>
      </c>
      <c r="D81" s="226">
        <v>1995000</v>
      </c>
      <c r="E81" s="226">
        <f>+E80/4</f>
        <v>9975000</v>
      </c>
      <c r="F81" s="182"/>
      <c r="G81" s="182"/>
      <c r="H81" s="187"/>
      <c r="I81" s="182"/>
      <c r="J81" s="182"/>
      <c r="K81" s="182"/>
      <c r="L81" s="182"/>
      <c r="M81" s="182"/>
      <c r="N81" s="187"/>
      <c r="O81" s="189">
        <f t="shared" ref="O81:O84" si="30">E81+H81+K81</f>
        <v>9975000</v>
      </c>
      <c r="P81" s="187"/>
      <c r="Q81" s="182"/>
      <c r="R81" s="182"/>
      <c r="S81" s="182"/>
      <c r="T81" s="261">
        <f>(1263500*56%)</f>
        <v>707560.00000000012</v>
      </c>
      <c r="U81" s="182"/>
      <c r="V81" s="182"/>
      <c r="W81" s="182"/>
      <c r="X81" s="187"/>
      <c r="Y81" s="187"/>
      <c r="Z81" s="99">
        <f t="shared" ref="Z81:Z84" si="31">SUM(Q81:Y81)</f>
        <v>707560.00000000012</v>
      </c>
      <c r="AA81" s="174">
        <f t="shared" si="28"/>
        <v>9267440</v>
      </c>
      <c r="AB81" s="188"/>
    </row>
    <row r="82" spans="1:30" s="2" customFormat="1" ht="15" customHeight="1" x14ac:dyDescent="0.25">
      <c r="A82" s="211" t="s">
        <v>183</v>
      </c>
      <c r="B82" s="173">
        <v>1</v>
      </c>
      <c r="C82" s="173">
        <v>9</v>
      </c>
      <c r="D82" s="226">
        <v>1995000</v>
      </c>
      <c r="E82" s="226">
        <v>9975000</v>
      </c>
      <c r="F82" s="182"/>
      <c r="G82" s="182"/>
      <c r="H82" s="187"/>
      <c r="I82" s="182"/>
      <c r="J82" s="182"/>
      <c r="K82" s="182"/>
      <c r="L82" s="182"/>
      <c r="M82" s="182"/>
      <c r="N82" s="187"/>
      <c r="O82" s="189">
        <f t="shared" si="30"/>
        <v>9975000</v>
      </c>
      <c r="P82" s="187"/>
      <c r="Q82" s="182"/>
      <c r="R82" s="182"/>
      <c r="S82" s="182"/>
      <c r="T82" s="261">
        <f>(731500*56%)</f>
        <v>409640.00000000006</v>
      </c>
      <c r="U82" s="182"/>
      <c r="V82" s="182"/>
      <c r="W82" s="182"/>
      <c r="X82" s="187"/>
      <c r="Y82" s="187"/>
      <c r="Z82" s="99">
        <f t="shared" si="31"/>
        <v>409640.00000000006</v>
      </c>
      <c r="AA82" s="174">
        <f t="shared" si="28"/>
        <v>9565360</v>
      </c>
      <c r="AB82" s="188"/>
      <c r="AC82" s="188"/>
    </row>
    <row r="83" spans="1:30" s="2" customFormat="1" ht="15" customHeight="1" x14ac:dyDescent="0.25">
      <c r="A83" s="211" t="s">
        <v>184</v>
      </c>
      <c r="B83" s="173">
        <v>1</v>
      </c>
      <c r="C83" s="173">
        <v>9</v>
      </c>
      <c r="D83" s="226">
        <v>1995000</v>
      </c>
      <c r="E83" s="226">
        <v>9975000</v>
      </c>
      <c r="F83" s="182"/>
      <c r="G83" s="182"/>
      <c r="H83" s="252"/>
      <c r="I83" s="182"/>
      <c r="J83" s="182"/>
      <c r="K83" s="182"/>
      <c r="L83" s="182"/>
      <c r="M83" s="182"/>
      <c r="N83" s="187"/>
      <c r="O83" s="189">
        <f t="shared" si="30"/>
        <v>9975000</v>
      </c>
      <c r="P83" s="187"/>
      <c r="Q83" s="182"/>
      <c r="R83" s="182"/>
      <c r="S83" s="182"/>
      <c r="T83" s="261">
        <f>(598500*56%)</f>
        <v>335160.00000000006</v>
      </c>
      <c r="U83" s="182"/>
      <c r="V83" s="182"/>
      <c r="W83" s="182"/>
      <c r="X83" s="187"/>
      <c r="Y83" s="187"/>
      <c r="Z83" s="99">
        <f t="shared" si="31"/>
        <v>335160.00000000006</v>
      </c>
      <c r="AA83" s="174">
        <f t="shared" si="28"/>
        <v>9639840</v>
      </c>
      <c r="AB83" s="188"/>
      <c r="AC83" s="188"/>
      <c r="AD83" s="188"/>
    </row>
    <row r="84" spans="1:30" s="2" customFormat="1" ht="15" customHeight="1" x14ac:dyDescent="0.25">
      <c r="A84" s="181"/>
      <c r="B84" s="173"/>
      <c r="C84" s="173"/>
      <c r="D84" s="226"/>
      <c r="E84" s="227"/>
      <c r="F84" s="182"/>
      <c r="G84" s="182"/>
      <c r="H84" s="187"/>
      <c r="I84" s="182"/>
      <c r="J84" s="182"/>
      <c r="K84" s="182"/>
      <c r="L84" s="182"/>
      <c r="M84" s="182"/>
      <c r="N84" s="187"/>
      <c r="O84" s="189">
        <f t="shared" si="30"/>
        <v>0</v>
      </c>
      <c r="P84" s="187"/>
      <c r="Q84" s="182"/>
      <c r="R84" s="182"/>
      <c r="S84" s="182"/>
      <c r="T84" s="182"/>
      <c r="U84" s="182"/>
      <c r="V84" s="182"/>
      <c r="W84" s="182"/>
      <c r="X84" s="187"/>
      <c r="Y84" s="187"/>
      <c r="Z84" s="99">
        <f t="shared" si="31"/>
        <v>0</v>
      </c>
      <c r="AA84" s="174">
        <f t="shared" si="28"/>
        <v>0</v>
      </c>
      <c r="AB84" s="188"/>
    </row>
    <row r="85" spans="1:30" ht="15" customHeight="1" x14ac:dyDescent="0.25">
      <c r="A85" s="171"/>
      <c r="B85" s="98"/>
      <c r="C85" s="98"/>
      <c r="D85" s="249"/>
      <c r="E85" s="189"/>
      <c r="F85" s="189"/>
      <c r="G85" s="189"/>
      <c r="H85" s="189">
        <v>0</v>
      </c>
      <c r="I85" s="189"/>
      <c r="J85" s="189"/>
      <c r="K85" s="189"/>
      <c r="L85" s="189"/>
      <c r="M85" s="189"/>
      <c r="N85" s="189"/>
      <c r="O85" s="189"/>
      <c r="P85" s="1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100"/>
      <c r="AB85" s="13"/>
    </row>
    <row r="86" spans="1:30" ht="15" customHeight="1" x14ac:dyDescent="0.25">
      <c r="A86" s="93" t="s">
        <v>127</v>
      </c>
      <c r="B86" s="101">
        <v>8</v>
      </c>
      <c r="C86" s="101">
        <v>9</v>
      </c>
      <c r="D86" s="219">
        <v>1590000</v>
      </c>
      <c r="E86" s="220">
        <v>63600000</v>
      </c>
      <c r="F86" s="102">
        <v>0</v>
      </c>
      <c r="G86" s="102">
        <v>0</v>
      </c>
      <c r="H86" s="94">
        <f>+H95</f>
        <v>0</v>
      </c>
      <c r="I86" s="102">
        <v>0</v>
      </c>
      <c r="J86" s="102">
        <v>0</v>
      </c>
      <c r="K86" s="102">
        <f>+K95</f>
        <v>0</v>
      </c>
      <c r="L86" s="102">
        <v>0</v>
      </c>
      <c r="M86" s="102">
        <v>0</v>
      </c>
      <c r="N86" s="94">
        <f>+E86</f>
        <v>63600000</v>
      </c>
      <c r="O86" s="94">
        <f>SUM(O87:O94)</f>
        <v>47700000</v>
      </c>
      <c r="P86" s="94">
        <f>N86-O86</f>
        <v>15900000</v>
      </c>
      <c r="Q86" s="102">
        <f>+Q95</f>
        <v>0</v>
      </c>
      <c r="R86" s="102">
        <f t="shared" ref="R86:Y86" si="32">R95</f>
        <v>0</v>
      </c>
      <c r="S86" s="102">
        <f t="shared" si="32"/>
        <v>0</v>
      </c>
      <c r="T86" s="94">
        <f>+T87+T88+T89+T90+T91+T92+T93+T94</f>
        <v>2315040.0000000005</v>
      </c>
      <c r="U86" s="102">
        <f t="shared" si="32"/>
        <v>0</v>
      </c>
      <c r="V86" s="102">
        <f t="shared" si="32"/>
        <v>0</v>
      </c>
      <c r="W86" s="102">
        <f t="shared" si="32"/>
        <v>0</v>
      </c>
      <c r="X86" s="94">
        <f t="shared" si="32"/>
        <v>0</v>
      </c>
      <c r="Y86" s="94">
        <f t="shared" si="32"/>
        <v>0</v>
      </c>
      <c r="Z86" s="121">
        <f>SUM(Q86:Y86)</f>
        <v>2315040.0000000005</v>
      </c>
      <c r="AA86" s="202">
        <f>SUM(AA87:AA94)</f>
        <v>45384960</v>
      </c>
      <c r="AB86" s="13"/>
    </row>
    <row r="87" spans="1:30" s="2" customFormat="1" ht="15" customHeight="1" x14ac:dyDescent="0.25">
      <c r="A87" s="211" t="s">
        <v>185</v>
      </c>
      <c r="B87" s="173">
        <v>1</v>
      </c>
      <c r="C87" s="173">
        <v>9</v>
      </c>
      <c r="D87" s="226">
        <v>1590000</v>
      </c>
      <c r="E87" s="226">
        <v>7950000</v>
      </c>
      <c r="F87" s="182"/>
      <c r="G87" s="182"/>
      <c r="H87" s="187"/>
      <c r="I87" s="182"/>
      <c r="J87" s="182"/>
      <c r="K87" s="182"/>
      <c r="L87" s="182"/>
      <c r="M87" s="182"/>
      <c r="N87" s="187"/>
      <c r="O87" s="189">
        <f t="shared" ref="O87:O94" si="33">E87+H87+K87</f>
        <v>7950000</v>
      </c>
      <c r="P87" s="187"/>
      <c r="Q87" s="182"/>
      <c r="R87" s="182"/>
      <c r="S87" s="182"/>
      <c r="T87" s="261">
        <f>318000*56%</f>
        <v>178080.00000000003</v>
      </c>
      <c r="U87" s="182"/>
      <c r="V87" s="182"/>
      <c r="W87" s="182"/>
      <c r="X87" s="187"/>
      <c r="Y87" s="187"/>
      <c r="Z87" s="99">
        <f t="shared" ref="Z87:Z94" si="34">SUM(Q87:Y87)</f>
        <v>178080.00000000003</v>
      </c>
      <c r="AA87" s="174">
        <f t="shared" ref="AA87:AA94" si="35">O87-Z87</f>
        <v>7771920</v>
      </c>
      <c r="AB87" s="188"/>
      <c r="AC87" s="188"/>
    </row>
    <row r="88" spans="1:30" s="2" customFormat="1" ht="15" customHeight="1" x14ac:dyDescent="0.25">
      <c r="A88" s="211" t="s">
        <v>186</v>
      </c>
      <c r="B88" s="173">
        <v>1</v>
      </c>
      <c r="C88" s="173">
        <v>9</v>
      </c>
      <c r="D88" s="226">
        <v>1590000</v>
      </c>
      <c r="E88" s="226">
        <v>7950000</v>
      </c>
      <c r="F88" s="182"/>
      <c r="G88" s="182"/>
      <c r="H88" s="187"/>
      <c r="I88" s="182"/>
      <c r="J88" s="182"/>
      <c r="K88" s="182"/>
      <c r="L88" s="182"/>
      <c r="M88" s="182"/>
      <c r="N88" s="187"/>
      <c r="O88" s="189">
        <f t="shared" si="33"/>
        <v>7950000</v>
      </c>
      <c r="P88" s="187"/>
      <c r="Q88" s="182"/>
      <c r="R88" s="182"/>
      <c r="S88" s="182"/>
      <c r="T88" s="261">
        <f>1166000*56%</f>
        <v>652960.00000000012</v>
      </c>
      <c r="U88" s="182"/>
      <c r="V88" s="182"/>
      <c r="W88" s="182"/>
      <c r="X88" s="187"/>
      <c r="Y88" s="187"/>
      <c r="Z88" s="99">
        <f t="shared" si="34"/>
        <v>652960.00000000012</v>
      </c>
      <c r="AA88" s="174">
        <f t="shared" si="35"/>
        <v>7297040</v>
      </c>
      <c r="AB88" s="188"/>
    </row>
    <row r="89" spans="1:30" s="2" customFormat="1" ht="15" customHeight="1" x14ac:dyDescent="0.25">
      <c r="A89" s="211" t="s">
        <v>187</v>
      </c>
      <c r="B89" s="173">
        <v>1</v>
      </c>
      <c r="C89" s="173">
        <v>9</v>
      </c>
      <c r="D89" s="226">
        <v>1590000</v>
      </c>
      <c r="E89" s="226">
        <v>7950000</v>
      </c>
      <c r="F89" s="182"/>
      <c r="G89" s="182"/>
      <c r="H89" s="187"/>
      <c r="I89" s="182"/>
      <c r="J89" s="182"/>
      <c r="K89" s="182"/>
      <c r="L89" s="182"/>
      <c r="M89" s="182"/>
      <c r="N89" s="187"/>
      <c r="O89" s="189">
        <f t="shared" si="33"/>
        <v>7950000</v>
      </c>
      <c r="P89" s="187"/>
      <c r="Q89" s="182"/>
      <c r="R89" s="182"/>
      <c r="S89" s="182"/>
      <c r="T89" s="261">
        <f>901000*56%</f>
        <v>504560.00000000006</v>
      </c>
      <c r="U89" s="182"/>
      <c r="V89" s="182"/>
      <c r="W89" s="182"/>
      <c r="X89" s="187"/>
      <c r="Y89" s="187"/>
      <c r="Z89" s="99">
        <f t="shared" si="34"/>
        <v>504560.00000000006</v>
      </c>
      <c r="AA89" s="174">
        <f t="shared" si="35"/>
        <v>7445440</v>
      </c>
      <c r="AB89" s="188"/>
    </row>
    <row r="90" spans="1:30" s="2" customFormat="1" ht="15" customHeight="1" x14ac:dyDescent="0.25">
      <c r="A90" s="211" t="s">
        <v>188</v>
      </c>
      <c r="B90" s="173">
        <v>1</v>
      </c>
      <c r="C90" s="173">
        <v>9</v>
      </c>
      <c r="D90" s="226">
        <v>1590000</v>
      </c>
      <c r="E90" s="226">
        <v>7950000</v>
      </c>
      <c r="F90" s="182"/>
      <c r="G90" s="182"/>
      <c r="H90" s="187"/>
      <c r="I90" s="182"/>
      <c r="J90" s="182"/>
      <c r="K90" s="182"/>
      <c r="L90" s="182"/>
      <c r="M90" s="182"/>
      <c r="N90" s="187"/>
      <c r="O90" s="189">
        <f t="shared" si="33"/>
        <v>7950000</v>
      </c>
      <c r="P90" s="187"/>
      <c r="Q90" s="182"/>
      <c r="R90" s="182"/>
      <c r="S90" s="182"/>
      <c r="T90" s="261">
        <f>901000*56%</f>
        <v>504560.00000000006</v>
      </c>
      <c r="U90" s="182"/>
      <c r="V90" s="182"/>
      <c r="W90" s="182"/>
      <c r="X90" s="187"/>
      <c r="Y90" s="187"/>
      <c r="Z90" s="99">
        <f t="shared" si="34"/>
        <v>504560.00000000006</v>
      </c>
      <c r="AA90" s="174">
        <f t="shared" si="35"/>
        <v>7445440</v>
      </c>
      <c r="AB90" s="188"/>
      <c r="AD90" s="188"/>
    </row>
    <row r="91" spans="1:30" s="2" customFormat="1" ht="15" customHeight="1" x14ac:dyDescent="0.25">
      <c r="A91" s="211" t="s">
        <v>189</v>
      </c>
      <c r="B91" s="173">
        <v>1</v>
      </c>
      <c r="C91" s="173">
        <v>9</v>
      </c>
      <c r="D91" s="226">
        <v>1590000</v>
      </c>
      <c r="E91" s="226">
        <v>7950000</v>
      </c>
      <c r="F91" s="182"/>
      <c r="G91" s="182"/>
      <c r="H91" s="187"/>
      <c r="I91" s="182"/>
      <c r="J91" s="182"/>
      <c r="K91" s="182"/>
      <c r="L91" s="182"/>
      <c r="M91" s="182"/>
      <c r="N91" s="187"/>
      <c r="O91" s="189">
        <f t="shared" si="33"/>
        <v>7950000</v>
      </c>
      <c r="P91" s="187"/>
      <c r="Q91" s="182"/>
      <c r="R91" s="182"/>
      <c r="S91" s="182"/>
      <c r="T91" s="261">
        <f>848000*56%</f>
        <v>474880.00000000006</v>
      </c>
      <c r="U91" s="182"/>
      <c r="V91" s="182"/>
      <c r="W91" s="182"/>
      <c r="X91" s="187"/>
      <c r="Y91" s="187"/>
      <c r="Z91" s="99">
        <f t="shared" si="34"/>
        <v>474880.00000000006</v>
      </c>
      <c r="AA91" s="174">
        <f t="shared" si="35"/>
        <v>7475120</v>
      </c>
      <c r="AB91" s="188"/>
    </row>
    <row r="92" spans="1:30" s="2" customFormat="1" ht="15" customHeight="1" x14ac:dyDescent="0.25">
      <c r="A92" s="172"/>
      <c r="B92" s="173">
        <v>1</v>
      </c>
      <c r="C92" s="173">
        <v>9</v>
      </c>
      <c r="D92" s="226">
        <v>1590000</v>
      </c>
      <c r="E92" s="226">
        <v>7950000</v>
      </c>
      <c r="F92" s="182"/>
      <c r="G92" s="182"/>
      <c r="H92" s="187"/>
      <c r="I92" s="182"/>
      <c r="J92" s="182"/>
      <c r="K92" s="182"/>
      <c r="L92" s="182"/>
      <c r="M92" s="182"/>
      <c r="N92" s="187"/>
      <c r="O92" s="189">
        <f t="shared" si="33"/>
        <v>7950000</v>
      </c>
      <c r="P92" s="187"/>
      <c r="Q92" s="182"/>
      <c r="R92" s="182"/>
      <c r="S92" s="182"/>
      <c r="T92" s="182"/>
      <c r="U92" s="182"/>
      <c r="V92" s="182"/>
      <c r="W92" s="182"/>
      <c r="X92" s="187"/>
      <c r="Y92" s="187"/>
      <c r="Z92" s="99">
        <f t="shared" si="34"/>
        <v>0</v>
      </c>
      <c r="AA92" s="174">
        <f t="shared" si="35"/>
        <v>7950000</v>
      </c>
      <c r="AB92" s="188"/>
    </row>
    <row r="93" spans="1:30" s="2" customFormat="1" ht="15" customHeight="1" x14ac:dyDescent="0.25">
      <c r="A93" s="172"/>
      <c r="B93" s="173"/>
      <c r="C93" s="173"/>
      <c r="D93" s="226"/>
      <c r="E93" s="227"/>
      <c r="F93" s="182"/>
      <c r="G93" s="182"/>
      <c r="H93" s="187"/>
      <c r="I93" s="182"/>
      <c r="J93" s="182"/>
      <c r="K93" s="182"/>
      <c r="L93" s="182"/>
      <c r="M93" s="182"/>
      <c r="N93" s="187"/>
      <c r="O93" s="189">
        <f t="shared" si="33"/>
        <v>0</v>
      </c>
      <c r="P93" s="187"/>
      <c r="Q93" s="182"/>
      <c r="R93" s="182"/>
      <c r="S93" s="182"/>
      <c r="T93" s="182"/>
      <c r="U93" s="182"/>
      <c r="V93" s="182"/>
      <c r="W93" s="182"/>
      <c r="X93" s="187"/>
      <c r="Y93" s="187"/>
      <c r="Z93" s="99">
        <f t="shared" si="34"/>
        <v>0</v>
      </c>
      <c r="AA93" s="174">
        <f t="shared" si="35"/>
        <v>0</v>
      </c>
      <c r="AB93" s="188"/>
      <c r="AC93" s="188"/>
    </row>
    <row r="94" spans="1:30" s="2" customFormat="1" ht="15" customHeight="1" x14ac:dyDescent="0.25">
      <c r="A94" s="172"/>
      <c r="B94" s="173"/>
      <c r="C94" s="173"/>
      <c r="D94" s="226"/>
      <c r="E94" s="227"/>
      <c r="F94" s="182"/>
      <c r="G94" s="182"/>
      <c r="H94" s="187"/>
      <c r="I94" s="182"/>
      <c r="J94" s="182"/>
      <c r="K94" s="182"/>
      <c r="L94" s="182"/>
      <c r="M94" s="182"/>
      <c r="N94" s="187"/>
      <c r="O94" s="189">
        <f t="shared" si="33"/>
        <v>0</v>
      </c>
      <c r="P94" s="187"/>
      <c r="Q94" s="182"/>
      <c r="R94" s="182"/>
      <c r="S94" s="182"/>
      <c r="T94" s="182"/>
      <c r="U94" s="182"/>
      <c r="V94" s="182"/>
      <c r="W94" s="182"/>
      <c r="X94" s="187"/>
      <c r="Y94" s="187"/>
      <c r="Z94" s="99">
        <f t="shared" si="34"/>
        <v>0</v>
      </c>
      <c r="AA94" s="174">
        <f t="shared" si="35"/>
        <v>0</v>
      </c>
      <c r="AB94" s="188"/>
    </row>
    <row r="95" spans="1:30" ht="15" customHeight="1" x14ac:dyDescent="0.25">
      <c r="A95" s="171"/>
      <c r="B95" s="98"/>
      <c r="C95" s="98"/>
      <c r="D95" s="249"/>
      <c r="E95" s="189"/>
      <c r="F95" s="189"/>
      <c r="G95" s="189"/>
      <c r="H95" s="189">
        <v>0</v>
      </c>
      <c r="I95" s="189"/>
      <c r="J95" s="189"/>
      <c r="K95" s="189"/>
      <c r="L95" s="189"/>
      <c r="M95" s="189"/>
      <c r="N95" s="189"/>
      <c r="O95" s="189"/>
      <c r="P95" s="18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0"/>
      <c r="AB95" s="13"/>
    </row>
    <row r="96" spans="1:30" ht="15" customHeight="1" x14ac:dyDescent="0.25">
      <c r="A96" s="34" t="s">
        <v>95</v>
      </c>
      <c r="B96" s="107"/>
      <c r="C96" s="107"/>
      <c r="D96" s="218"/>
      <c r="E96" s="108">
        <f>E29+E31+E36+E41+E72+E34+E46+E75+E77+E80+E86</f>
        <v>892145000</v>
      </c>
      <c r="F96" s="108">
        <f t="shared" ref="F96:M96" si="36">F29+F31+F36+F41+F72+F34+F46+F75+F80+F86</f>
        <v>0</v>
      </c>
      <c r="G96" s="108">
        <f t="shared" si="36"/>
        <v>0</v>
      </c>
      <c r="H96" s="108">
        <f t="shared" si="36"/>
        <v>0</v>
      </c>
      <c r="I96" s="108">
        <f t="shared" si="36"/>
        <v>0</v>
      </c>
      <c r="J96" s="108">
        <f t="shared" si="36"/>
        <v>0</v>
      </c>
      <c r="K96" s="108">
        <f t="shared" si="36"/>
        <v>0</v>
      </c>
      <c r="L96" s="108">
        <f t="shared" si="36"/>
        <v>0</v>
      </c>
      <c r="M96" s="108">
        <f t="shared" si="36"/>
        <v>0</v>
      </c>
      <c r="N96" s="108">
        <f t="shared" ref="N96:Z96" si="37">N29+N31+N36+N41+N72+N34+N46+N75+N77+N80+N86</f>
        <v>892145000</v>
      </c>
      <c r="O96" s="108">
        <f t="shared" si="37"/>
        <v>553556000</v>
      </c>
      <c r="P96" s="108">
        <f t="shared" si="37"/>
        <v>338589000</v>
      </c>
      <c r="Q96" s="108">
        <f t="shared" si="37"/>
        <v>12141100.25</v>
      </c>
      <c r="R96" s="108">
        <f t="shared" si="37"/>
        <v>18132000</v>
      </c>
      <c r="S96" s="108">
        <f t="shared" si="37"/>
        <v>18132000</v>
      </c>
      <c r="T96" s="108">
        <f t="shared" si="37"/>
        <v>42177750</v>
      </c>
      <c r="U96" s="108">
        <f t="shared" si="37"/>
        <v>0</v>
      </c>
      <c r="V96" s="108">
        <f t="shared" si="37"/>
        <v>0</v>
      </c>
      <c r="W96" s="108">
        <f t="shared" si="37"/>
        <v>0</v>
      </c>
      <c r="X96" s="108">
        <f t="shared" si="37"/>
        <v>0</v>
      </c>
      <c r="Y96" s="108">
        <f t="shared" si="37"/>
        <v>0</v>
      </c>
      <c r="Z96" s="108">
        <f t="shared" si="37"/>
        <v>90582850.25</v>
      </c>
      <c r="AA96" s="201">
        <f>O96-Z96</f>
        <v>462973149.75</v>
      </c>
      <c r="AB96" s="13"/>
    </row>
    <row r="97" spans="1:30" ht="15" customHeight="1" x14ac:dyDescent="0.25">
      <c r="A97" s="34" t="s">
        <v>97</v>
      </c>
      <c r="B97" s="107"/>
      <c r="C97" s="107"/>
      <c r="D97" s="218"/>
      <c r="E97" s="108">
        <f>E28+E96</f>
        <v>3602945000</v>
      </c>
      <c r="F97" s="108">
        <f>F28+F96</f>
        <v>0</v>
      </c>
      <c r="G97" s="108">
        <f>+G3+G5+G7+G9+G13+G37+G42+G72</f>
        <v>0</v>
      </c>
      <c r="H97" s="108">
        <f>H28+H96</f>
        <v>0</v>
      </c>
      <c r="I97" s="108"/>
      <c r="J97" s="108">
        <f>+J3+J5+J7+J9+J13+J37+J42+J72</f>
        <v>0</v>
      </c>
      <c r="K97" s="108">
        <f>+K3+K5+K7+K9+K13+K37+K42+K72</f>
        <v>0</v>
      </c>
      <c r="L97" s="108">
        <f>+L3+L5+L7+L9+L13+L37+L42+L72</f>
        <v>0</v>
      </c>
      <c r="M97" s="108">
        <f>+M3+M5+M7+M9+M13+M37+M42+M72</f>
        <v>0</v>
      </c>
      <c r="N97" s="108">
        <f t="shared" ref="N97:Z97" si="38">N28+N96</f>
        <v>3602945000</v>
      </c>
      <c r="O97" s="108">
        <f t="shared" si="38"/>
        <v>735558800</v>
      </c>
      <c r="P97" s="108">
        <f t="shared" si="38"/>
        <v>2867386200</v>
      </c>
      <c r="Q97" s="108">
        <f t="shared" si="38"/>
        <v>22349500.25</v>
      </c>
      <c r="R97" s="108">
        <f t="shared" si="38"/>
        <v>38407800</v>
      </c>
      <c r="S97" s="108">
        <f t="shared" si="38"/>
        <v>56173800</v>
      </c>
      <c r="T97" s="108">
        <f t="shared" si="38"/>
        <v>155654550</v>
      </c>
      <c r="U97" s="108">
        <f t="shared" si="38"/>
        <v>0</v>
      </c>
      <c r="V97" s="108">
        <f t="shared" si="38"/>
        <v>0</v>
      </c>
      <c r="W97" s="108">
        <f t="shared" si="38"/>
        <v>0</v>
      </c>
      <c r="X97" s="108">
        <f t="shared" si="38"/>
        <v>0</v>
      </c>
      <c r="Y97" s="108">
        <f t="shared" si="38"/>
        <v>0</v>
      </c>
      <c r="Z97" s="108">
        <f t="shared" si="38"/>
        <v>272585650.25</v>
      </c>
      <c r="AA97" s="201">
        <f>O97-Z97</f>
        <v>462973149.75</v>
      </c>
      <c r="AB97" s="13"/>
      <c r="AC97" s="13"/>
      <c r="AD97" s="13"/>
    </row>
    <row r="98" spans="1:30" ht="15" customHeight="1" x14ac:dyDescent="0.25">
      <c r="A98" s="205" t="s">
        <v>79</v>
      </c>
      <c r="B98" s="46" t="s">
        <v>46</v>
      </c>
      <c r="C98" s="46">
        <v>1</v>
      </c>
      <c r="D98" s="228">
        <v>114000000</v>
      </c>
      <c r="E98" s="47"/>
      <c r="F98" s="47">
        <v>114000000</v>
      </c>
      <c r="G98" s="229"/>
      <c r="H98" s="47"/>
      <c r="I98" s="47"/>
      <c r="J98" s="224"/>
      <c r="K98" s="224"/>
      <c r="L98" s="224"/>
      <c r="M98" s="224"/>
      <c r="N98" s="224">
        <f t="shared" ref="N98:N107" si="39">SUM(E98:M98)</f>
        <v>114000000</v>
      </c>
      <c r="O98" s="189">
        <f>Z98</f>
        <v>38854000</v>
      </c>
      <c r="P98" s="189">
        <f>N98-O98</f>
        <v>75146000</v>
      </c>
      <c r="Q98" s="99">
        <v>11098000</v>
      </c>
      <c r="R98" s="99">
        <v>11098000</v>
      </c>
      <c r="S98" s="99">
        <v>11098000</v>
      </c>
      <c r="T98" s="189">
        <v>5560000</v>
      </c>
      <c r="U98" s="99"/>
      <c r="V98" s="99"/>
      <c r="W98" s="99"/>
      <c r="X98" s="99"/>
      <c r="Y98" s="99"/>
      <c r="Z98" s="106">
        <f>SUM(Q98:Y98)</f>
        <v>38854000</v>
      </c>
      <c r="AA98" s="203">
        <f>O98-Z98</f>
        <v>0</v>
      </c>
      <c r="AB98" s="13"/>
    </row>
    <row r="99" spans="1:30" ht="15" customHeight="1" x14ac:dyDescent="0.25">
      <c r="A99" s="206" t="s">
        <v>80</v>
      </c>
      <c r="B99" s="46" t="s">
        <v>46</v>
      </c>
      <c r="C99" s="46">
        <v>1</v>
      </c>
      <c r="D99" s="228">
        <v>46000000</v>
      </c>
      <c r="E99" s="48">
        <v>43100000</v>
      </c>
      <c r="F99" s="47"/>
      <c r="G99" s="229"/>
      <c r="H99" s="47"/>
      <c r="I99" s="47"/>
      <c r="J99" s="224"/>
      <c r="K99" s="224"/>
      <c r="L99" s="224">
        <v>0</v>
      </c>
      <c r="M99" s="224"/>
      <c r="N99" s="224">
        <f t="shared" si="39"/>
        <v>43100000</v>
      </c>
      <c r="O99" s="189">
        <v>0</v>
      </c>
      <c r="P99" s="189">
        <f t="shared" ref="P99:P117" si="40">N99-O99</f>
        <v>43100000</v>
      </c>
      <c r="Q99" s="99"/>
      <c r="R99" s="99"/>
      <c r="S99" s="99"/>
      <c r="T99" s="99"/>
      <c r="U99" s="99"/>
      <c r="V99" s="99">
        <v>0</v>
      </c>
      <c r="W99" s="99"/>
      <c r="X99" s="99"/>
      <c r="Y99" s="99"/>
      <c r="Z99" s="106">
        <f t="shared" ref="Z99:Z116" si="41">SUM(Q99:Y99)</f>
        <v>0</v>
      </c>
      <c r="AA99" s="203">
        <f t="shared" ref="AA99:AA117" si="42">O99-Z99</f>
        <v>0</v>
      </c>
      <c r="AB99" s="13"/>
    </row>
    <row r="100" spans="1:30" ht="15" customHeight="1" x14ac:dyDescent="0.25">
      <c r="A100" s="206" t="s">
        <v>81</v>
      </c>
      <c r="B100" s="46" t="s">
        <v>46</v>
      </c>
      <c r="C100" s="46">
        <v>1</v>
      </c>
      <c r="D100" s="228">
        <v>55672720</v>
      </c>
      <c r="E100" s="48">
        <v>55672720</v>
      </c>
      <c r="F100" s="47"/>
      <c r="G100" s="229"/>
      <c r="H100" s="47"/>
      <c r="I100" s="47"/>
      <c r="J100" s="224"/>
      <c r="K100" s="224"/>
      <c r="L100" s="224"/>
      <c r="M100" s="224"/>
      <c r="N100" s="224">
        <f t="shared" si="39"/>
        <v>55672720</v>
      </c>
      <c r="O100" s="189">
        <v>0</v>
      </c>
      <c r="P100" s="189">
        <f t="shared" si="40"/>
        <v>55672720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106">
        <f t="shared" si="41"/>
        <v>0</v>
      </c>
      <c r="AA100" s="203">
        <f t="shared" si="42"/>
        <v>0</v>
      </c>
      <c r="AB100" s="13"/>
    </row>
    <row r="101" spans="1:30" ht="15" customHeight="1" x14ac:dyDescent="0.25">
      <c r="A101" s="206" t="s">
        <v>128</v>
      </c>
      <c r="B101" s="46" t="s">
        <v>46</v>
      </c>
      <c r="C101" s="46">
        <v>1</v>
      </c>
      <c r="D101" s="228">
        <v>22000000</v>
      </c>
      <c r="E101" s="48">
        <f>+D101</f>
        <v>22000000</v>
      </c>
      <c r="F101" s="47"/>
      <c r="G101" s="229"/>
      <c r="H101" s="47"/>
      <c r="I101" s="47"/>
      <c r="J101" s="224"/>
      <c r="K101" s="224"/>
      <c r="L101" s="224"/>
      <c r="M101" s="224"/>
      <c r="N101" s="224">
        <f t="shared" ref="N101:N104" si="43">SUM(E101:M101)</f>
        <v>22000000</v>
      </c>
      <c r="O101" s="189">
        <v>0</v>
      </c>
      <c r="P101" s="189">
        <f t="shared" si="40"/>
        <v>22000000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106">
        <f t="shared" si="41"/>
        <v>0</v>
      </c>
      <c r="AA101" s="203">
        <f t="shared" si="42"/>
        <v>0</v>
      </c>
      <c r="AB101" s="13"/>
    </row>
    <row r="102" spans="1:30" ht="15" customHeight="1" x14ac:dyDescent="0.25">
      <c r="A102" s="206" t="s">
        <v>129</v>
      </c>
      <c r="B102" s="46" t="s">
        <v>46</v>
      </c>
      <c r="C102" s="46">
        <v>1</v>
      </c>
      <c r="D102" s="228">
        <v>17000000</v>
      </c>
      <c r="E102" s="48">
        <f>+D102</f>
        <v>17000000</v>
      </c>
      <c r="F102" s="47"/>
      <c r="G102" s="229"/>
      <c r="H102" s="47"/>
      <c r="I102" s="47"/>
      <c r="J102" s="224"/>
      <c r="K102" s="224"/>
      <c r="L102" s="224"/>
      <c r="M102" s="224"/>
      <c r="N102" s="224">
        <f t="shared" si="43"/>
        <v>17000000</v>
      </c>
      <c r="O102" s="189">
        <v>0</v>
      </c>
      <c r="P102" s="189">
        <f t="shared" si="40"/>
        <v>17000000</v>
      </c>
      <c r="Q102" s="99"/>
      <c r="R102" s="99"/>
      <c r="S102" s="99"/>
      <c r="T102" s="99"/>
      <c r="U102" s="99"/>
      <c r="V102" s="99"/>
      <c r="W102" s="99"/>
      <c r="X102" s="99"/>
      <c r="Y102" s="99"/>
      <c r="Z102" s="106">
        <f t="shared" si="41"/>
        <v>0</v>
      </c>
      <c r="AA102" s="203">
        <f t="shared" si="42"/>
        <v>0</v>
      </c>
      <c r="AB102" s="13"/>
    </row>
    <row r="103" spans="1:30" ht="15" customHeight="1" x14ac:dyDescent="0.25">
      <c r="A103" s="207" t="s">
        <v>83</v>
      </c>
      <c r="B103" s="46" t="s">
        <v>46</v>
      </c>
      <c r="C103" s="46">
        <v>1</v>
      </c>
      <c r="D103" s="228">
        <v>7000000</v>
      </c>
      <c r="E103" s="47"/>
      <c r="F103" s="47">
        <v>7000000</v>
      </c>
      <c r="G103" s="229"/>
      <c r="H103" s="47"/>
      <c r="I103" s="47"/>
      <c r="J103" s="224"/>
      <c r="K103" s="224"/>
      <c r="L103" s="224"/>
      <c r="M103" s="224"/>
      <c r="N103" s="224">
        <f t="shared" si="43"/>
        <v>7000000</v>
      </c>
      <c r="O103" s="224">
        <v>7000000</v>
      </c>
      <c r="P103" s="224">
        <f t="shared" si="40"/>
        <v>0</v>
      </c>
      <c r="Q103" s="99"/>
      <c r="R103" s="99"/>
      <c r="S103" s="99"/>
      <c r="T103" s="189">
        <v>7000000</v>
      </c>
      <c r="U103" s="99"/>
      <c r="V103" s="99"/>
      <c r="W103" s="99">
        <v>0</v>
      </c>
      <c r="X103" s="99"/>
      <c r="Y103" s="99"/>
      <c r="Z103" s="106">
        <f t="shared" si="41"/>
        <v>7000000</v>
      </c>
      <c r="AA103" s="203">
        <f t="shared" si="42"/>
        <v>0</v>
      </c>
      <c r="AB103" s="13"/>
    </row>
    <row r="104" spans="1:30" ht="15" customHeight="1" x14ac:dyDescent="0.25">
      <c r="A104" s="208" t="s">
        <v>84</v>
      </c>
      <c r="B104" s="46" t="s">
        <v>46</v>
      </c>
      <c r="C104" s="46">
        <v>1</v>
      </c>
      <c r="D104" s="228">
        <v>11000000</v>
      </c>
      <c r="E104" s="47"/>
      <c r="F104" s="47">
        <v>11000000</v>
      </c>
      <c r="G104" s="229"/>
      <c r="H104" s="47"/>
      <c r="I104" s="47"/>
      <c r="J104" s="224"/>
      <c r="K104" s="224"/>
      <c r="L104" s="224"/>
      <c r="M104" s="224"/>
      <c r="N104" s="224">
        <f t="shared" si="43"/>
        <v>11000000</v>
      </c>
      <c r="O104" s="224">
        <v>11000000</v>
      </c>
      <c r="P104" s="224">
        <f t="shared" si="40"/>
        <v>0</v>
      </c>
      <c r="Q104" s="99"/>
      <c r="R104" s="99"/>
      <c r="S104" s="99"/>
      <c r="T104" s="189">
        <v>11000000</v>
      </c>
      <c r="U104" s="99"/>
      <c r="V104" s="99"/>
      <c r="W104" s="99">
        <v>0</v>
      </c>
      <c r="X104" s="99"/>
      <c r="Y104" s="99"/>
      <c r="Z104" s="106">
        <f t="shared" si="41"/>
        <v>11000000</v>
      </c>
      <c r="AA104" s="203">
        <f t="shared" si="42"/>
        <v>0</v>
      </c>
      <c r="AB104" s="13"/>
    </row>
    <row r="105" spans="1:30" ht="15" customHeight="1" x14ac:dyDescent="0.25">
      <c r="A105" s="209" t="s">
        <v>85</v>
      </c>
      <c r="B105" s="46" t="s">
        <v>46</v>
      </c>
      <c r="C105" s="46">
        <v>1</v>
      </c>
      <c r="D105" s="228">
        <v>42429362.131999969</v>
      </c>
      <c r="E105" s="47">
        <v>33429362.131999969</v>
      </c>
      <c r="F105" s="47">
        <v>0</v>
      </c>
      <c r="G105" s="229"/>
      <c r="H105" s="47"/>
      <c r="I105" s="47"/>
      <c r="J105" s="224"/>
      <c r="K105" s="224"/>
      <c r="L105" s="224"/>
      <c r="M105" s="224"/>
      <c r="N105" s="224">
        <f t="shared" si="39"/>
        <v>33429362.131999969</v>
      </c>
      <c r="O105" s="224">
        <v>0</v>
      </c>
      <c r="P105" s="224">
        <f t="shared" si="40"/>
        <v>33429362.131999969</v>
      </c>
      <c r="Q105" s="99"/>
      <c r="R105" s="99"/>
      <c r="S105" s="99"/>
      <c r="T105" s="99"/>
      <c r="U105" s="99"/>
      <c r="V105" s="99"/>
      <c r="W105" s="99">
        <v>0</v>
      </c>
      <c r="X105" s="99"/>
      <c r="Y105" s="99"/>
      <c r="Z105" s="106">
        <f t="shared" si="41"/>
        <v>0</v>
      </c>
      <c r="AA105" s="203">
        <f t="shared" si="42"/>
        <v>0</v>
      </c>
      <c r="AB105" s="13"/>
    </row>
    <row r="106" spans="1:30" ht="15" customHeight="1" x14ac:dyDescent="0.25">
      <c r="A106" s="209" t="s">
        <v>86</v>
      </c>
      <c r="B106" s="46" t="s">
        <v>46</v>
      </c>
      <c r="C106" s="46">
        <v>1</v>
      </c>
      <c r="D106" s="228">
        <v>28850000</v>
      </c>
      <c r="E106" s="47"/>
      <c r="F106" s="47">
        <v>28850000</v>
      </c>
      <c r="G106" s="229"/>
      <c r="H106" s="47"/>
      <c r="I106" s="47"/>
      <c r="J106" s="224"/>
      <c r="K106" s="224"/>
      <c r="L106" s="224"/>
      <c r="M106" s="224"/>
      <c r="N106" s="224">
        <f t="shared" si="39"/>
        <v>28850000</v>
      </c>
      <c r="O106" s="224">
        <v>0</v>
      </c>
      <c r="P106" s="224">
        <f t="shared" si="40"/>
        <v>28850000</v>
      </c>
      <c r="Q106" s="99"/>
      <c r="R106" s="99"/>
      <c r="S106" s="99"/>
      <c r="T106" s="99"/>
      <c r="U106" s="99"/>
      <c r="V106" s="99"/>
      <c r="W106" s="99"/>
      <c r="X106" s="99">
        <v>0</v>
      </c>
      <c r="Y106" s="99"/>
      <c r="Z106" s="106">
        <f t="shared" si="41"/>
        <v>0</v>
      </c>
      <c r="AA106" s="203">
        <f t="shared" si="42"/>
        <v>0</v>
      </c>
      <c r="AB106" s="13"/>
    </row>
    <row r="107" spans="1:30" ht="15" customHeight="1" x14ac:dyDescent="0.25">
      <c r="A107" s="210" t="s">
        <v>87</v>
      </c>
      <c r="B107" s="46" t="s">
        <v>46</v>
      </c>
      <c r="C107" s="46">
        <v>1</v>
      </c>
      <c r="D107" s="228">
        <v>98011169</v>
      </c>
      <c r="E107" s="47">
        <v>98011169</v>
      </c>
      <c r="F107" s="47"/>
      <c r="G107" s="229"/>
      <c r="H107" s="47"/>
      <c r="I107" s="47"/>
      <c r="J107" s="224"/>
      <c r="K107" s="224"/>
      <c r="L107" s="224"/>
      <c r="M107" s="224"/>
      <c r="N107" s="224">
        <f t="shared" si="39"/>
        <v>98011169</v>
      </c>
      <c r="O107" s="224">
        <v>0</v>
      </c>
      <c r="P107" s="224">
        <f t="shared" si="40"/>
        <v>98011169</v>
      </c>
      <c r="Q107" s="99"/>
      <c r="R107" s="99"/>
      <c r="S107" s="99"/>
      <c r="T107" s="99"/>
      <c r="U107" s="99"/>
      <c r="V107" s="99"/>
      <c r="W107" s="99"/>
      <c r="X107" s="99"/>
      <c r="Y107" s="99"/>
      <c r="Z107" s="106">
        <f t="shared" si="41"/>
        <v>0</v>
      </c>
      <c r="AA107" s="203">
        <f t="shared" si="42"/>
        <v>0</v>
      </c>
      <c r="AB107" s="13"/>
    </row>
    <row r="108" spans="1:30" ht="15" customHeight="1" x14ac:dyDescent="0.25">
      <c r="A108" s="254" t="s">
        <v>210</v>
      </c>
      <c r="B108" s="46" t="s">
        <v>46</v>
      </c>
      <c r="C108" s="46">
        <v>1</v>
      </c>
      <c r="D108" s="228">
        <v>60000000</v>
      </c>
      <c r="E108" s="47">
        <v>43400000</v>
      </c>
      <c r="F108" s="47"/>
      <c r="G108" s="229"/>
      <c r="H108" s="47"/>
      <c r="I108" s="258"/>
      <c r="J108" s="224"/>
      <c r="K108" s="224"/>
      <c r="L108" s="224"/>
      <c r="M108" s="224"/>
      <c r="N108" s="224">
        <f t="shared" ref="N108:N114" si="44">SUM(E108:M108)</f>
        <v>43400000</v>
      </c>
      <c r="O108" s="224">
        <v>43400000</v>
      </c>
      <c r="P108" s="224">
        <f t="shared" si="40"/>
        <v>0</v>
      </c>
      <c r="Q108" s="99"/>
      <c r="R108" s="99"/>
      <c r="S108" s="99"/>
      <c r="T108" s="99"/>
      <c r="U108" s="99"/>
      <c r="V108" s="99"/>
      <c r="W108" s="99"/>
      <c r="X108" s="99"/>
      <c r="Y108" s="99"/>
      <c r="Z108" s="106">
        <f>+Z109</f>
        <v>157550.39999999999</v>
      </c>
      <c r="AA108" s="203">
        <f t="shared" si="42"/>
        <v>43242449.600000001</v>
      </c>
      <c r="AB108" s="13"/>
    </row>
    <row r="109" spans="1:30" ht="15" customHeight="1" x14ac:dyDescent="0.25">
      <c r="A109" s="257" t="s">
        <v>211</v>
      </c>
      <c r="B109" s="46"/>
      <c r="C109" s="46"/>
      <c r="D109" s="228"/>
      <c r="E109" s="47">
        <v>43400000</v>
      </c>
      <c r="F109" s="47"/>
      <c r="G109" s="229"/>
      <c r="H109" s="47"/>
      <c r="I109" s="258"/>
      <c r="J109" s="224"/>
      <c r="K109" s="224"/>
      <c r="L109" s="224"/>
      <c r="M109" s="224"/>
      <c r="N109" s="224">
        <v>43400000</v>
      </c>
      <c r="O109" s="224">
        <v>43400000</v>
      </c>
      <c r="P109" s="224"/>
      <c r="Q109" s="99"/>
      <c r="R109" s="99"/>
      <c r="S109" s="99"/>
      <c r="T109" s="189">
        <f>218820*72%</f>
        <v>157550.39999999999</v>
      </c>
      <c r="U109" s="99"/>
      <c r="V109" s="99"/>
      <c r="W109" s="99"/>
      <c r="X109" s="99"/>
      <c r="Y109" s="99"/>
      <c r="Z109" s="106">
        <f t="shared" si="41"/>
        <v>157550.39999999999</v>
      </c>
      <c r="AA109" s="203"/>
      <c r="AB109" s="13"/>
    </row>
    <row r="110" spans="1:30" ht="15" customHeight="1" x14ac:dyDescent="0.25">
      <c r="A110" s="254" t="s">
        <v>212</v>
      </c>
      <c r="B110" s="46" t="s">
        <v>46</v>
      </c>
      <c r="C110" s="46">
        <v>1</v>
      </c>
      <c r="D110" s="228">
        <v>35000000</v>
      </c>
      <c r="E110" s="47">
        <v>35000000</v>
      </c>
      <c r="F110" s="47"/>
      <c r="G110" s="229"/>
      <c r="H110" s="47"/>
      <c r="I110" s="47"/>
      <c r="J110" s="224"/>
      <c r="K110" s="224"/>
      <c r="L110" s="224"/>
      <c r="M110" s="224"/>
      <c r="N110" s="224">
        <f>SUM(E110:M110)</f>
        <v>35000000</v>
      </c>
      <c r="O110" s="224">
        <v>35000000</v>
      </c>
      <c r="P110" s="224">
        <f t="shared" ref="P110" si="45">N110-O110</f>
        <v>0</v>
      </c>
      <c r="Q110" s="99"/>
      <c r="R110" s="99"/>
      <c r="S110" s="99"/>
      <c r="T110" s="99"/>
      <c r="U110" s="99"/>
      <c r="V110" s="99"/>
      <c r="W110" s="99"/>
      <c r="X110" s="99"/>
      <c r="Y110" s="99"/>
      <c r="Z110" s="106">
        <f>+Z111</f>
        <v>0</v>
      </c>
      <c r="AA110" s="203">
        <f t="shared" si="42"/>
        <v>35000000</v>
      </c>
      <c r="AB110" s="13"/>
    </row>
    <row r="111" spans="1:30" ht="15" customHeight="1" x14ac:dyDescent="0.25">
      <c r="A111" s="257" t="s">
        <v>211</v>
      </c>
      <c r="B111" s="46"/>
      <c r="C111" s="46"/>
      <c r="D111" s="228"/>
      <c r="E111" s="47">
        <v>35000000</v>
      </c>
      <c r="F111" s="47"/>
      <c r="G111" s="229"/>
      <c r="H111" s="47"/>
      <c r="I111" s="47"/>
      <c r="J111" s="224"/>
      <c r="K111" s="224"/>
      <c r="L111" s="224"/>
      <c r="M111" s="224"/>
      <c r="N111" s="224">
        <v>35000000</v>
      </c>
      <c r="O111" s="224">
        <v>35000000</v>
      </c>
      <c r="P111" s="224"/>
      <c r="Q111" s="99"/>
      <c r="R111" s="99"/>
      <c r="S111" s="99"/>
      <c r="T111" s="99"/>
      <c r="U111" s="99"/>
      <c r="V111" s="99"/>
      <c r="W111" s="99"/>
      <c r="X111" s="99"/>
      <c r="Y111" s="99"/>
      <c r="Z111" s="106">
        <f t="shared" ref="Z111" si="46">SUM(Q111:Y111)</f>
        <v>0</v>
      </c>
      <c r="AA111" s="203"/>
      <c r="AB111" s="13"/>
    </row>
    <row r="112" spans="1:30" ht="15" customHeight="1" x14ac:dyDescent="0.25">
      <c r="A112" s="254" t="s">
        <v>130</v>
      </c>
      <c r="B112" s="46" t="s">
        <v>46</v>
      </c>
      <c r="C112" s="46">
        <v>1</v>
      </c>
      <c r="D112" s="228">
        <v>25000000</v>
      </c>
      <c r="E112" s="47">
        <v>25000000</v>
      </c>
      <c r="F112" s="47"/>
      <c r="G112" s="229"/>
      <c r="H112" s="47"/>
      <c r="I112" s="47"/>
      <c r="J112" s="224"/>
      <c r="K112" s="224"/>
      <c r="L112" s="224"/>
      <c r="M112" s="224"/>
      <c r="N112" s="224">
        <f t="shared" si="44"/>
        <v>25000000</v>
      </c>
      <c r="O112" s="224">
        <v>25000000</v>
      </c>
      <c r="P112" s="224">
        <f t="shared" si="40"/>
        <v>0</v>
      </c>
      <c r="Q112" s="99"/>
      <c r="R112" s="99"/>
      <c r="S112" s="99"/>
      <c r="T112" s="99"/>
      <c r="U112" s="99"/>
      <c r="V112" s="99"/>
      <c r="W112" s="99"/>
      <c r="X112" s="99"/>
      <c r="Y112" s="99"/>
      <c r="Z112" s="106">
        <f t="shared" si="41"/>
        <v>0</v>
      </c>
      <c r="AA112" s="203">
        <f t="shared" si="42"/>
        <v>25000000</v>
      </c>
      <c r="AB112" s="13"/>
    </row>
    <row r="113" spans="1:30" ht="15" customHeight="1" x14ac:dyDescent="0.25">
      <c r="A113" s="254" t="s">
        <v>131</v>
      </c>
      <c r="B113" s="46" t="s">
        <v>46</v>
      </c>
      <c r="C113" s="46">
        <v>1</v>
      </c>
      <c r="D113" s="228">
        <v>25000000</v>
      </c>
      <c r="E113" s="47">
        <v>17000000</v>
      </c>
      <c r="F113" s="47"/>
      <c r="G113" s="229"/>
      <c r="H113" s="47"/>
      <c r="I113" s="47"/>
      <c r="J113" s="224"/>
      <c r="K113" s="224"/>
      <c r="L113" s="224"/>
      <c r="M113" s="224"/>
      <c r="N113" s="224">
        <f t="shared" si="44"/>
        <v>17000000</v>
      </c>
      <c r="O113" s="224">
        <v>0</v>
      </c>
      <c r="P113" s="224">
        <f t="shared" si="40"/>
        <v>17000000</v>
      </c>
      <c r="Q113" s="99"/>
      <c r="R113" s="99"/>
      <c r="S113" s="99"/>
      <c r="T113" s="99"/>
      <c r="U113" s="99"/>
      <c r="V113" s="99"/>
      <c r="W113" s="99"/>
      <c r="X113" s="99"/>
      <c r="Y113" s="99"/>
      <c r="Z113" s="106">
        <f t="shared" si="41"/>
        <v>0</v>
      </c>
      <c r="AA113" s="203">
        <f t="shared" si="42"/>
        <v>0</v>
      </c>
      <c r="AB113" s="13"/>
    </row>
    <row r="114" spans="1:30" ht="15" customHeight="1" x14ac:dyDescent="0.25">
      <c r="A114" s="210" t="s">
        <v>132</v>
      </c>
      <c r="B114" s="46" t="s">
        <v>46</v>
      </c>
      <c r="C114" s="46">
        <v>1</v>
      </c>
      <c r="D114" s="228">
        <v>42000000</v>
      </c>
      <c r="E114" s="47">
        <v>21000000</v>
      </c>
      <c r="F114" s="47"/>
      <c r="G114" s="229"/>
      <c r="H114" s="47"/>
      <c r="I114" s="47"/>
      <c r="J114" s="224"/>
      <c r="K114" s="224"/>
      <c r="L114" s="224"/>
      <c r="M114" s="224"/>
      <c r="N114" s="224">
        <f t="shared" si="44"/>
        <v>21000000</v>
      </c>
      <c r="O114" s="224">
        <v>0</v>
      </c>
      <c r="P114" s="224">
        <f t="shared" si="40"/>
        <v>21000000</v>
      </c>
      <c r="Q114" s="99"/>
      <c r="R114" s="99"/>
      <c r="S114" s="99"/>
      <c r="T114" s="99"/>
      <c r="U114" s="99"/>
      <c r="V114" s="99"/>
      <c r="W114" s="99"/>
      <c r="X114" s="99"/>
      <c r="Y114" s="99"/>
      <c r="Z114" s="106">
        <f t="shared" si="41"/>
        <v>0</v>
      </c>
      <c r="AA114" s="203">
        <f t="shared" si="42"/>
        <v>0</v>
      </c>
      <c r="AB114" s="13"/>
    </row>
    <row r="115" spans="1:30" ht="15" customHeight="1" x14ac:dyDescent="0.25">
      <c r="A115" s="210" t="s">
        <v>133</v>
      </c>
      <c r="B115" s="46" t="s">
        <v>46</v>
      </c>
      <c r="C115" s="46">
        <v>1</v>
      </c>
      <c r="D115" s="228">
        <f>11300000+80000000</f>
        <v>91300000</v>
      </c>
      <c r="E115" s="47">
        <v>0</v>
      </c>
      <c r="F115" s="47">
        <v>91300000</v>
      </c>
      <c r="G115" s="229"/>
      <c r="H115" s="47"/>
      <c r="I115" s="47"/>
      <c r="J115" s="224"/>
      <c r="K115" s="224"/>
      <c r="L115" s="224"/>
      <c r="M115" s="224"/>
      <c r="N115" s="224">
        <f t="shared" ref="N115" si="47">SUM(E115:M115)</f>
        <v>91300000</v>
      </c>
      <c r="O115" s="224">
        <f>Z115</f>
        <v>15500000</v>
      </c>
      <c r="P115" s="224">
        <f t="shared" si="40"/>
        <v>75800000</v>
      </c>
      <c r="Q115" s="99">
        <v>15500000</v>
      </c>
      <c r="R115" s="99">
        <v>0</v>
      </c>
      <c r="S115" s="99"/>
      <c r="T115" s="99"/>
      <c r="U115" s="99"/>
      <c r="V115" s="99"/>
      <c r="W115" s="99"/>
      <c r="X115" s="99"/>
      <c r="Y115" s="99"/>
      <c r="Z115" s="106">
        <f t="shared" si="41"/>
        <v>15500000</v>
      </c>
      <c r="AA115" s="203">
        <f t="shared" si="42"/>
        <v>0</v>
      </c>
      <c r="AB115" s="13"/>
    </row>
    <row r="116" spans="1:30" ht="15" customHeight="1" x14ac:dyDescent="0.25">
      <c r="A116" s="210" t="s">
        <v>136</v>
      </c>
      <c r="B116" s="46" t="s">
        <v>135</v>
      </c>
      <c r="C116" s="46">
        <v>1</v>
      </c>
      <c r="D116" s="228">
        <v>4500000</v>
      </c>
      <c r="E116" s="48">
        <v>3000000</v>
      </c>
      <c r="F116" s="47"/>
      <c r="G116" s="229"/>
      <c r="H116" s="230"/>
      <c r="I116" s="47"/>
      <c r="J116" s="224"/>
      <c r="K116" s="224"/>
      <c r="L116" s="224"/>
      <c r="M116" s="224"/>
      <c r="N116" s="224">
        <f t="shared" ref="N116:N117" si="48">SUM(E116:M116)</f>
        <v>3000000</v>
      </c>
      <c r="O116" s="224">
        <v>0</v>
      </c>
      <c r="P116" s="224">
        <f t="shared" si="40"/>
        <v>3000000</v>
      </c>
      <c r="Q116" s="99"/>
      <c r="R116" s="99"/>
      <c r="S116" s="99"/>
      <c r="T116" s="99"/>
      <c r="U116" s="99"/>
      <c r="V116" s="99"/>
      <c r="W116" s="99"/>
      <c r="X116" s="99"/>
      <c r="Y116" s="99"/>
      <c r="Z116" s="106">
        <f t="shared" si="41"/>
        <v>0</v>
      </c>
      <c r="AA116" s="203">
        <f t="shared" si="42"/>
        <v>0</v>
      </c>
      <c r="AB116" s="13"/>
    </row>
    <row r="117" spans="1:30" ht="15" customHeight="1" x14ac:dyDescent="0.25">
      <c r="A117" s="210" t="s">
        <v>137</v>
      </c>
      <c r="B117" s="46" t="s">
        <v>46</v>
      </c>
      <c r="C117" s="46">
        <v>1</v>
      </c>
      <c r="D117" s="228">
        <v>6000000</v>
      </c>
      <c r="E117" s="47">
        <v>4000000</v>
      </c>
      <c r="F117" s="48">
        <v>0</v>
      </c>
      <c r="G117" s="229"/>
      <c r="H117" s="48"/>
      <c r="I117" s="47"/>
      <c r="J117" s="224"/>
      <c r="K117" s="224"/>
      <c r="L117" s="224"/>
      <c r="M117" s="224"/>
      <c r="N117" s="224">
        <f t="shared" si="48"/>
        <v>4000000</v>
      </c>
      <c r="O117" s="224">
        <v>0</v>
      </c>
      <c r="P117" s="224">
        <f t="shared" si="40"/>
        <v>4000000</v>
      </c>
      <c r="Q117" s="99"/>
      <c r="R117" s="99"/>
      <c r="S117" s="99"/>
      <c r="T117" s="99"/>
      <c r="U117" s="99"/>
      <c r="V117" s="99"/>
      <c r="W117" s="99"/>
      <c r="X117" s="99"/>
      <c r="Y117" s="99"/>
      <c r="Z117" s="106">
        <f>SUM(Q117:Y117)</f>
        <v>0</v>
      </c>
      <c r="AA117" s="203">
        <f t="shared" si="42"/>
        <v>0</v>
      </c>
      <c r="AB117" s="13"/>
    </row>
    <row r="118" spans="1:30" ht="15" customHeight="1" x14ac:dyDescent="0.25">
      <c r="A118" s="34" t="s">
        <v>36</v>
      </c>
      <c r="B118" s="110"/>
      <c r="C118" s="110"/>
      <c r="D118" s="231"/>
      <c r="E118" s="108">
        <f>+E98+E99+E100+E101+E102+E103+E104+E105+E106+E107+E108+E110+E112+E113+E114+E115+E116+E117</f>
        <v>417613251.13199997</v>
      </c>
      <c r="F118" s="108">
        <f>SUM(F98:F117)</f>
        <v>252150000</v>
      </c>
      <c r="G118" s="108"/>
      <c r="H118" s="108">
        <f>SUM(H98:H117)</f>
        <v>0</v>
      </c>
      <c r="I118" s="108">
        <f>SUM(I98:I117)</f>
        <v>0</v>
      </c>
      <c r="J118" s="108"/>
      <c r="K118" s="108">
        <f>SUM(K98:K117)</f>
        <v>0</v>
      </c>
      <c r="L118" s="108">
        <f>SUM(L98:L117)</f>
        <v>0</v>
      </c>
      <c r="M118" s="108">
        <f>SUM(M98:M117)</f>
        <v>0</v>
      </c>
      <c r="N118" s="108">
        <f>+N98+N99+N100+N101+N102+N103+N104+N105+N106+N107+N108+N110+N112+N113+N114+N115+N116+N117</f>
        <v>669763251.13199997</v>
      </c>
      <c r="O118" s="108">
        <f>+O98+O99+O100+O101+O102+O103+O104+O105+O106+O107+O108+O110+O112+O113+O114+O115+O116+O117</f>
        <v>175754000</v>
      </c>
      <c r="P118" s="108">
        <f>N118-O118</f>
        <v>494009251.13199997</v>
      </c>
      <c r="Q118" s="124">
        <f>SUM(Q98:Q117)</f>
        <v>26598000</v>
      </c>
      <c r="R118" s="124">
        <f>SUM(R98:R117)</f>
        <v>11098000</v>
      </c>
      <c r="S118" s="124">
        <f>SUM(S98:S117)</f>
        <v>11098000</v>
      </c>
      <c r="T118" s="111">
        <f t="shared" ref="T118:Y118" si="49">SUM(T98:T117)</f>
        <v>23717550.399999999</v>
      </c>
      <c r="U118" s="111">
        <f t="shared" si="49"/>
        <v>0</v>
      </c>
      <c r="V118" s="111">
        <f t="shared" si="49"/>
        <v>0</v>
      </c>
      <c r="W118" s="111">
        <f t="shared" si="49"/>
        <v>0</v>
      </c>
      <c r="X118" s="111">
        <f t="shared" si="49"/>
        <v>0</v>
      </c>
      <c r="Y118" s="111">
        <f t="shared" si="49"/>
        <v>0</v>
      </c>
      <c r="Z118" s="108">
        <f>+Z98+Z99+Z100+Z101+Z102+Z103+Z104+Z105+Z106+Z107+Z108+Z110+Z112+Z113+Z114+Z115+Z116+Z117</f>
        <v>72511550.400000006</v>
      </c>
      <c r="AA118" s="201">
        <f>SUM(AA98:AA117)</f>
        <v>103242449.59999999</v>
      </c>
      <c r="AB118" s="13"/>
    </row>
    <row r="119" spans="1:30" ht="15" customHeight="1" x14ac:dyDescent="0.25">
      <c r="A119" s="35" t="s">
        <v>45</v>
      </c>
      <c r="B119" s="98" t="s">
        <v>46</v>
      </c>
      <c r="C119" s="98">
        <v>1</v>
      </c>
      <c r="D119" s="221">
        <v>150000000</v>
      </c>
      <c r="E119" s="189">
        <v>148000000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f>SUM(E119:M119)</f>
        <v>148000000</v>
      </c>
      <c r="O119" s="182"/>
      <c r="P119" s="189">
        <f t="shared" ref="P119:P125" si="50">N119-O119</f>
        <v>148000000</v>
      </c>
      <c r="Q119" s="99"/>
      <c r="R119" s="99"/>
      <c r="S119" s="99"/>
      <c r="T119" s="99"/>
      <c r="U119" s="99"/>
      <c r="V119" s="99"/>
      <c r="W119" s="99"/>
      <c r="X119" s="99"/>
      <c r="Y119" s="99"/>
      <c r="Z119" s="106">
        <f>SUM(Q119:Y119)</f>
        <v>0</v>
      </c>
      <c r="AA119" s="203">
        <f t="shared" ref="AA119:AA127" si="51">O119-Z119</f>
        <v>0</v>
      </c>
      <c r="AB119" s="13"/>
    </row>
    <row r="120" spans="1:30" ht="15" customHeight="1" x14ac:dyDescent="0.25">
      <c r="A120" s="35" t="s">
        <v>204</v>
      </c>
      <c r="B120" s="98" t="s">
        <v>46</v>
      </c>
      <c r="C120" s="98">
        <v>1</v>
      </c>
      <c r="D120" s="221">
        <v>81837351</v>
      </c>
      <c r="E120" s="189">
        <v>776523896</v>
      </c>
      <c r="F120" s="189">
        <v>0</v>
      </c>
      <c r="G120" s="189"/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f>SUM(E120:M120)</f>
        <v>776523896</v>
      </c>
      <c r="O120" s="189">
        <f>+N120</f>
        <v>776523896</v>
      </c>
      <c r="P120" s="189">
        <f t="shared" si="50"/>
        <v>0</v>
      </c>
      <c r="Q120" s="99">
        <v>0</v>
      </c>
      <c r="R120" s="99">
        <v>0</v>
      </c>
      <c r="S120" s="99"/>
      <c r="T120" s="99"/>
      <c r="U120" s="99">
        <v>0</v>
      </c>
      <c r="V120" s="99">
        <v>0</v>
      </c>
      <c r="W120" s="99">
        <v>0</v>
      </c>
      <c r="X120" s="99">
        <v>0</v>
      </c>
      <c r="Y120" s="99">
        <f>+Y122</f>
        <v>0</v>
      </c>
      <c r="Z120" s="106">
        <f>+Z121</f>
        <v>71968141.819999993</v>
      </c>
      <c r="AA120" s="203">
        <f t="shared" si="51"/>
        <v>704555754.18000007</v>
      </c>
      <c r="AB120" s="13"/>
    </row>
    <row r="121" spans="1:30" ht="15" customHeight="1" x14ac:dyDescent="0.25">
      <c r="A121" s="171" t="s">
        <v>203</v>
      </c>
      <c r="B121" s="98"/>
      <c r="C121" s="98"/>
      <c r="D121" s="221"/>
      <c r="E121" s="189">
        <v>776523896</v>
      </c>
      <c r="F121" s="189"/>
      <c r="G121" s="189"/>
      <c r="H121" s="189"/>
      <c r="I121" s="189"/>
      <c r="J121" s="189"/>
      <c r="K121" s="189"/>
      <c r="L121" s="189"/>
      <c r="M121" s="189"/>
      <c r="N121" s="189">
        <v>776523896</v>
      </c>
      <c r="O121" s="189">
        <v>776523896</v>
      </c>
      <c r="P121" s="189"/>
      <c r="Q121" s="99"/>
      <c r="R121" s="99"/>
      <c r="S121" s="99">
        <f>+(12368738*94%)</f>
        <v>11626613.719999999</v>
      </c>
      <c r="T121" s="260">
        <f>+(64193115*94%)</f>
        <v>60341528.099999994</v>
      </c>
      <c r="U121" s="99"/>
      <c r="V121" s="99"/>
      <c r="W121" s="99"/>
      <c r="X121" s="99"/>
      <c r="Y121" s="99"/>
      <c r="Z121" s="106">
        <f>SUM(Q121:Y121)</f>
        <v>71968141.819999993</v>
      </c>
      <c r="AA121" s="203"/>
      <c r="AB121" s="13"/>
      <c r="AD121" s="13"/>
    </row>
    <row r="122" spans="1:30" ht="15" customHeight="1" x14ac:dyDescent="0.25">
      <c r="A122" s="34" t="s">
        <v>21</v>
      </c>
      <c r="B122" s="110"/>
      <c r="C122" s="110"/>
      <c r="D122" s="231"/>
      <c r="E122" s="108">
        <f>SUM(E119:E120)</f>
        <v>924523896</v>
      </c>
      <c r="F122" s="108">
        <f>SUM(F119:F120)</f>
        <v>0</v>
      </c>
      <c r="G122" s="108"/>
      <c r="H122" s="108">
        <f>SUM(H119:H120)</f>
        <v>0</v>
      </c>
      <c r="I122" s="108">
        <f>SUM(I119:I120)</f>
        <v>0</v>
      </c>
      <c r="J122" s="108"/>
      <c r="K122" s="108"/>
      <c r="L122" s="108"/>
      <c r="M122" s="108" t="e">
        <f>+#REF!+#REF!+M119</f>
        <v>#REF!</v>
      </c>
      <c r="N122" s="108">
        <f>SUM(N119:N120)</f>
        <v>924523896</v>
      </c>
      <c r="O122" s="108">
        <f>SUM(O119:O120)</f>
        <v>776523896</v>
      </c>
      <c r="P122" s="108">
        <f t="shared" si="50"/>
        <v>148000000</v>
      </c>
      <c r="Q122" s="111">
        <f>SUM(Q119:Q120)</f>
        <v>0</v>
      </c>
      <c r="R122" s="111">
        <f>SUM(R119:R120)</f>
        <v>0</v>
      </c>
      <c r="S122" s="111">
        <f>SUM(S119:S121)</f>
        <v>11626613.719999999</v>
      </c>
      <c r="T122" s="124">
        <f>SUM(T119:T121)</f>
        <v>60341528.099999994</v>
      </c>
      <c r="U122" s="111">
        <f t="shared" ref="U122:W122" si="52">SUM(U119:U120)</f>
        <v>0</v>
      </c>
      <c r="V122" s="111">
        <f t="shared" si="52"/>
        <v>0</v>
      </c>
      <c r="W122" s="111">
        <f t="shared" si="52"/>
        <v>0</v>
      </c>
      <c r="X122" s="111">
        <f>X119</f>
        <v>0</v>
      </c>
      <c r="Y122" s="111">
        <f>Y119</f>
        <v>0</v>
      </c>
      <c r="Z122" s="124">
        <f>SUM(Z119:Z120)</f>
        <v>71968141.819999993</v>
      </c>
      <c r="AA122" s="201">
        <f>SUM(AA119:AA120)</f>
        <v>704555754.18000007</v>
      </c>
      <c r="AB122" s="13"/>
    </row>
    <row r="123" spans="1:30" ht="15" customHeight="1" x14ac:dyDescent="0.25">
      <c r="A123" s="172" t="s">
        <v>23</v>
      </c>
      <c r="B123" s="173" t="s">
        <v>46</v>
      </c>
      <c r="C123" s="173">
        <v>1</v>
      </c>
      <c r="D123" s="226">
        <v>114348000</v>
      </c>
      <c r="E123" s="182">
        <v>80348000</v>
      </c>
      <c r="F123" s="182">
        <v>0</v>
      </c>
      <c r="G123" s="182">
        <v>0</v>
      </c>
      <c r="H123" s="182"/>
      <c r="I123" s="182">
        <v>0</v>
      </c>
      <c r="J123" s="182">
        <v>0</v>
      </c>
      <c r="K123" s="182">
        <v>0</v>
      </c>
      <c r="L123" s="182"/>
      <c r="M123" s="182">
        <v>0</v>
      </c>
      <c r="N123" s="182">
        <f>SUM(E123:M123)</f>
        <v>80348000</v>
      </c>
      <c r="O123" s="182">
        <v>80348000</v>
      </c>
      <c r="P123" s="182">
        <f t="shared" si="50"/>
        <v>0</v>
      </c>
      <c r="Q123" s="106">
        <f>+Q124</f>
        <v>0</v>
      </c>
      <c r="R123" s="106">
        <f>+R124</f>
        <v>0</v>
      </c>
      <c r="S123" s="106">
        <f t="shared" ref="S123:Y123" si="53">+S124</f>
        <v>0</v>
      </c>
      <c r="T123" s="106">
        <f t="shared" si="53"/>
        <v>0</v>
      </c>
      <c r="U123" s="106">
        <f t="shared" si="53"/>
        <v>0</v>
      </c>
      <c r="V123" s="106"/>
      <c r="W123" s="106">
        <f t="shared" si="53"/>
        <v>0</v>
      </c>
      <c r="X123" s="106">
        <f t="shared" si="53"/>
        <v>0</v>
      </c>
      <c r="Y123" s="106">
        <f t="shared" si="53"/>
        <v>0</v>
      </c>
      <c r="Z123" s="106">
        <f>SUM(Q123:Y123)</f>
        <v>0</v>
      </c>
      <c r="AA123" s="100">
        <f>O123-Z123</f>
        <v>80348000</v>
      </c>
      <c r="AB123" s="13"/>
    </row>
    <row r="124" spans="1:30" ht="15" customHeight="1" x14ac:dyDescent="0.25">
      <c r="A124" s="33"/>
      <c r="B124" s="104"/>
      <c r="C124" s="104"/>
      <c r="D124" s="222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99"/>
      <c r="R124" s="99"/>
      <c r="S124" s="99"/>
      <c r="T124" s="99"/>
      <c r="U124" s="99"/>
      <c r="V124" s="99"/>
      <c r="W124" s="99"/>
      <c r="X124" s="99"/>
      <c r="Y124" s="99"/>
      <c r="Z124" s="106"/>
      <c r="AA124" s="203"/>
      <c r="AB124" s="13"/>
    </row>
    <row r="125" spans="1:30" ht="15" customHeight="1" x14ac:dyDescent="0.25">
      <c r="A125" s="34" t="s">
        <v>24</v>
      </c>
      <c r="B125" s="110"/>
      <c r="C125" s="110"/>
      <c r="D125" s="231"/>
      <c r="E125" s="108">
        <f>+E123</f>
        <v>80348000</v>
      </c>
      <c r="F125" s="108">
        <f t="shared" ref="F125:N125" si="54">+F123</f>
        <v>0</v>
      </c>
      <c r="G125" s="108">
        <f t="shared" si="54"/>
        <v>0</v>
      </c>
      <c r="H125" s="108">
        <f t="shared" si="54"/>
        <v>0</v>
      </c>
      <c r="I125" s="108">
        <f t="shared" si="54"/>
        <v>0</v>
      </c>
      <c r="J125" s="108">
        <f t="shared" si="54"/>
        <v>0</v>
      </c>
      <c r="K125" s="108">
        <f t="shared" si="54"/>
        <v>0</v>
      </c>
      <c r="L125" s="108">
        <f t="shared" si="54"/>
        <v>0</v>
      </c>
      <c r="M125" s="108">
        <f t="shared" si="54"/>
        <v>0</v>
      </c>
      <c r="N125" s="108">
        <f t="shared" si="54"/>
        <v>80348000</v>
      </c>
      <c r="O125" s="108">
        <f>O123</f>
        <v>80348000</v>
      </c>
      <c r="P125" s="108">
        <f t="shared" si="50"/>
        <v>0</v>
      </c>
      <c r="Q125" s="111">
        <f>+Q123</f>
        <v>0</v>
      </c>
      <c r="R125" s="111">
        <f>+R123</f>
        <v>0</v>
      </c>
      <c r="S125" s="111">
        <f>+S123</f>
        <v>0</v>
      </c>
      <c r="T125" s="124">
        <f t="shared" ref="T125:Y125" si="55">+T123</f>
        <v>0</v>
      </c>
      <c r="U125" s="111">
        <f t="shared" si="55"/>
        <v>0</v>
      </c>
      <c r="V125" s="111">
        <f t="shared" si="55"/>
        <v>0</v>
      </c>
      <c r="W125" s="111">
        <f t="shared" si="55"/>
        <v>0</v>
      </c>
      <c r="X125" s="111">
        <f t="shared" si="55"/>
        <v>0</v>
      </c>
      <c r="Y125" s="111">
        <f t="shared" si="55"/>
        <v>0</v>
      </c>
      <c r="Z125" s="111">
        <f>SUM(Z123:Z124)</f>
        <v>0</v>
      </c>
      <c r="AA125" s="201">
        <f>SUM(AA123)</f>
        <v>80348000</v>
      </c>
      <c r="AB125" s="13"/>
    </row>
    <row r="126" spans="1:30" s="2" customFormat="1" ht="15" customHeight="1" x14ac:dyDescent="0.25">
      <c r="A126" s="172" t="s">
        <v>111</v>
      </c>
      <c r="B126" s="173">
        <v>401</v>
      </c>
      <c r="C126" s="173">
        <v>10</v>
      </c>
      <c r="D126" s="226">
        <v>3500</v>
      </c>
      <c r="E126" s="182">
        <v>13177500</v>
      </c>
      <c r="F126" s="182">
        <v>0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f>SUM(E126:M126)</f>
        <v>13177500</v>
      </c>
      <c r="O126" s="182">
        <f>Z126</f>
        <v>615230</v>
      </c>
      <c r="P126" s="182">
        <f>N126-O126</f>
        <v>12562270</v>
      </c>
      <c r="Q126" s="106">
        <f>112000*94%</f>
        <v>105280</v>
      </c>
      <c r="R126" s="106">
        <f>(119000+119000)*94%</f>
        <v>223720</v>
      </c>
      <c r="S126" s="106">
        <f>(304500)*94%</f>
        <v>286230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/>
      <c r="Z126" s="106">
        <f>SUM(Q126:Y126)</f>
        <v>615230</v>
      </c>
      <c r="AA126" s="204">
        <f t="shared" si="51"/>
        <v>0</v>
      </c>
      <c r="AB126" s="188"/>
    </row>
    <row r="127" spans="1:30" s="2" customFormat="1" ht="15" customHeight="1" x14ac:dyDescent="0.25">
      <c r="A127" s="172" t="s">
        <v>49</v>
      </c>
      <c r="B127" s="173"/>
      <c r="C127" s="173"/>
      <c r="D127" s="226"/>
      <c r="E127" s="182">
        <v>22442615</v>
      </c>
      <c r="F127" s="182"/>
      <c r="G127" s="182"/>
      <c r="H127" s="182"/>
      <c r="I127" s="182"/>
      <c r="J127" s="182"/>
      <c r="K127" s="182"/>
      <c r="L127" s="182"/>
      <c r="M127" s="182"/>
      <c r="N127" s="182">
        <f>SUM(E127:M127)</f>
        <v>22442615</v>
      </c>
      <c r="O127" s="182">
        <f>Z127</f>
        <v>3137851.1639999999</v>
      </c>
      <c r="P127" s="182">
        <f>N127-O127</f>
        <v>19304763.835999999</v>
      </c>
      <c r="Q127" s="106"/>
      <c r="R127" s="106">
        <f>784462791*4/1000</f>
        <v>3137851.1639999999</v>
      </c>
      <c r="S127" s="106"/>
      <c r="T127" s="106"/>
      <c r="U127" s="106"/>
      <c r="V127" s="106"/>
      <c r="W127" s="106"/>
      <c r="X127" s="106"/>
      <c r="Y127" s="106"/>
      <c r="Z127" s="106">
        <f t="shared" ref="Z127" si="56">SUM(Q127:Y127)</f>
        <v>3137851.1639999999</v>
      </c>
      <c r="AA127" s="204">
        <f t="shared" si="51"/>
        <v>0</v>
      </c>
      <c r="AB127" s="188"/>
    </row>
    <row r="128" spans="1:30" ht="15" customHeight="1" x14ac:dyDescent="0.25">
      <c r="A128" s="34" t="s">
        <v>25</v>
      </c>
      <c r="B128" s="110"/>
      <c r="C128" s="110"/>
      <c r="D128" s="231"/>
      <c r="E128" s="108">
        <f>+E126+E127</f>
        <v>35620115</v>
      </c>
      <c r="F128" s="108">
        <f>+F126</f>
        <v>0</v>
      </c>
      <c r="G128" s="108"/>
      <c r="H128" s="108">
        <f>+H126</f>
        <v>0</v>
      </c>
      <c r="I128" s="108">
        <f>+I126</f>
        <v>0</v>
      </c>
      <c r="J128" s="108"/>
      <c r="K128" s="108">
        <f>+K116+K118+K123+K125</f>
        <v>0</v>
      </c>
      <c r="L128" s="108">
        <f>+L126</f>
        <v>0</v>
      </c>
      <c r="M128" s="108" t="e">
        <f>+M116+M118+#REF!+M123+M125</f>
        <v>#REF!</v>
      </c>
      <c r="N128" s="108">
        <f>+N126+N127</f>
        <v>35620115</v>
      </c>
      <c r="O128" s="108">
        <f>+O126+O127</f>
        <v>3753081.1639999999</v>
      </c>
      <c r="P128" s="108">
        <f>+P126+P127</f>
        <v>31867033.835999999</v>
      </c>
      <c r="Q128" s="124">
        <f>+Q126+Q127</f>
        <v>105280</v>
      </c>
      <c r="R128" s="124">
        <f>+R126+R127</f>
        <v>3361571.1639999999</v>
      </c>
      <c r="S128" s="124">
        <f>+S127+S126</f>
        <v>286230</v>
      </c>
      <c r="T128" s="111">
        <f>T126</f>
        <v>0</v>
      </c>
      <c r="U128" s="124">
        <f>U126</f>
        <v>0</v>
      </c>
      <c r="V128" s="111">
        <f>V126</f>
        <v>0</v>
      </c>
      <c r="W128" s="111">
        <f>W126</f>
        <v>0</v>
      </c>
      <c r="X128" s="111">
        <f>X126</f>
        <v>0</v>
      </c>
      <c r="Y128" s="111"/>
      <c r="Z128" s="124">
        <f>SUM(Z126:Z127)</f>
        <v>3753081.1639999999</v>
      </c>
      <c r="AA128" s="201">
        <f>SUM(AA126:AA127)</f>
        <v>0</v>
      </c>
      <c r="AB128" s="13"/>
    </row>
    <row r="129" spans="1:29" ht="15" customHeight="1" x14ac:dyDescent="0.25">
      <c r="A129" s="34" t="s">
        <v>102</v>
      </c>
      <c r="B129" s="110"/>
      <c r="C129" s="110"/>
      <c r="D129" s="231"/>
      <c r="E129" s="108">
        <f>E28+E96+E118+E122+E125+E128+E201</f>
        <v>5061050262.132</v>
      </c>
      <c r="F129" s="108">
        <f>F28+F96+F118+F122+F125+F128</f>
        <v>252150000</v>
      </c>
      <c r="G129" s="108"/>
      <c r="H129" s="108">
        <v>0</v>
      </c>
      <c r="I129" s="108">
        <v>0</v>
      </c>
      <c r="J129" s="108"/>
      <c r="K129" s="108">
        <f>K19+K22+K98+K105+K128</f>
        <v>0</v>
      </c>
      <c r="L129" s="108">
        <f>L19+L22+L98+L105+L128</f>
        <v>0</v>
      </c>
      <c r="M129" s="108"/>
      <c r="N129" s="108">
        <f>N28+N96+N118+N122+N125+N128</f>
        <v>5313200262.132</v>
      </c>
      <c r="O129" s="108">
        <f>O28+O96+O118+O122+O125+O128</f>
        <v>1771937777.164</v>
      </c>
      <c r="P129" s="108">
        <f>P28+P96+P118+P122+P125+P128</f>
        <v>3541262484.9679999</v>
      </c>
      <c r="Q129" s="108">
        <f>+Q128+Q125+Q97+Q122+Q118</f>
        <v>49052780.25</v>
      </c>
      <c r="R129" s="108">
        <f>+R128+R125+R97+R122+R118</f>
        <v>52867371.163999997</v>
      </c>
      <c r="S129" s="108">
        <f>+S128+S125+S97+S122+S118</f>
        <v>79184643.719999999</v>
      </c>
      <c r="T129" s="108">
        <f t="shared" ref="T129:Z129" si="57">T28+T96+T118+T122+T125+T128</f>
        <v>239713628.5</v>
      </c>
      <c r="U129" s="108">
        <f t="shared" si="57"/>
        <v>0</v>
      </c>
      <c r="V129" s="108">
        <f t="shared" si="57"/>
        <v>0</v>
      </c>
      <c r="W129" s="108">
        <f t="shared" si="57"/>
        <v>0</v>
      </c>
      <c r="X129" s="108">
        <f t="shared" si="57"/>
        <v>0</v>
      </c>
      <c r="Y129" s="108">
        <f t="shared" si="57"/>
        <v>0</v>
      </c>
      <c r="Z129" s="108">
        <f t="shared" si="57"/>
        <v>420818423.63399994</v>
      </c>
      <c r="AA129" s="201">
        <f>+AA128+AA125+AA122+AA118+AA97</f>
        <v>1351119353.5300002</v>
      </c>
      <c r="AB129" s="13"/>
      <c r="AC129" s="13"/>
    </row>
    <row r="130" spans="1:29" ht="15" customHeight="1" x14ac:dyDescent="0.25">
      <c r="A130" s="232" t="s">
        <v>99</v>
      </c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4"/>
      <c r="AB130" s="13"/>
    </row>
    <row r="131" spans="1:29" s="2" customFormat="1" x14ac:dyDescent="0.25">
      <c r="A131" s="172" t="s">
        <v>28</v>
      </c>
      <c r="B131" s="173">
        <v>48</v>
      </c>
      <c r="C131" s="173">
        <v>6</v>
      </c>
      <c r="D131" s="226">
        <v>0</v>
      </c>
      <c r="E131" s="182"/>
      <c r="F131" s="182">
        <v>0</v>
      </c>
      <c r="G131" s="182">
        <v>0</v>
      </c>
      <c r="H131" s="182">
        <v>176400000</v>
      </c>
      <c r="I131" s="182"/>
      <c r="J131" s="182">
        <v>0</v>
      </c>
      <c r="K131" s="182"/>
      <c r="L131" s="182">
        <v>0</v>
      </c>
      <c r="M131" s="182">
        <v>0</v>
      </c>
      <c r="N131" s="182">
        <f>SUM(E131:M131)</f>
        <v>176400000</v>
      </c>
      <c r="O131" s="182">
        <f>SUM(Q131:Y131)</f>
        <v>11617200</v>
      </c>
      <c r="P131" s="182">
        <f>N131-O131</f>
        <v>164782800</v>
      </c>
      <c r="Q131" s="182">
        <f>10860000*6%</f>
        <v>651600</v>
      </c>
      <c r="R131" s="182">
        <f>(14490000+7080000)*6%</f>
        <v>1294200</v>
      </c>
      <c r="S131" s="182">
        <f>(40470000)*6%</f>
        <v>2428200</v>
      </c>
      <c r="T131" s="182">
        <f>(120720000)*6%</f>
        <v>7243200</v>
      </c>
      <c r="U131" s="182">
        <v>0</v>
      </c>
      <c r="V131" s="182">
        <v>0</v>
      </c>
      <c r="W131" s="182">
        <v>0</v>
      </c>
      <c r="X131" s="182">
        <v>0</v>
      </c>
      <c r="Y131" s="182"/>
      <c r="Z131" s="106">
        <f>SUM(Q131:Y131)</f>
        <v>11617200</v>
      </c>
      <c r="AA131" s="212">
        <f>O131-Z131</f>
        <v>0</v>
      </c>
    </row>
    <row r="132" spans="1:29" x14ac:dyDescent="0.25">
      <c r="A132" s="34" t="s">
        <v>35</v>
      </c>
      <c r="B132" s="110"/>
      <c r="C132" s="110"/>
      <c r="D132" s="231"/>
      <c r="E132" s="108">
        <f t="shared" ref="E132:P132" si="58">+E131</f>
        <v>0</v>
      </c>
      <c r="F132" s="108">
        <f t="shared" si="58"/>
        <v>0</v>
      </c>
      <c r="G132" s="108">
        <f t="shared" si="58"/>
        <v>0</v>
      </c>
      <c r="H132" s="108">
        <f t="shared" si="58"/>
        <v>176400000</v>
      </c>
      <c r="I132" s="108">
        <f t="shared" si="58"/>
        <v>0</v>
      </c>
      <c r="J132" s="108">
        <f t="shared" si="58"/>
        <v>0</v>
      </c>
      <c r="K132" s="108"/>
      <c r="L132" s="108">
        <f t="shared" si="58"/>
        <v>0</v>
      </c>
      <c r="M132" s="108">
        <f t="shared" si="58"/>
        <v>0</v>
      </c>
      <c r="N132" s="108">
        <f>+N131</f>
        <v>176400000</v>
      </c>
      <c r="O132" s="108">
        <f>O131</f>
        <v>11617200</v>
      </c>
      <c r="P132" s="108">
        <f t="shared" si="58"/>
        <v>164782800</v>
      </c>
      <c r="Q132" s="124">
        <f>+Q131</f>
        <v>651600</v>
      </c>
      <c r="R132" s="124">
        <f>+R131</f>
        <v>1294200</v>
      </c>
      <c r="S132" s="124">
        <f>+S131</f>
        <v>2428200</v>
      </c>
      <c r="T132" s="124">
        <f t="shared" ref="T132:Z132" si="59">+T131</f>
        <v>7243200</v>
      </c>
      <c r="U132" s="124">
        <f t="shared" si="59"/>
        <v>0</v>
      </c>
      <c r="V132" s="124">
        <f t="shared" si="59"/>
        <v>0</v>
      </c>
      <c r="W132" s="124">
        <f t="shared" si="59"/>
        <v>0</v>
      </c>
      <c r="X132" s="124">
        <f t="shared" si="59"/>
        <v>0</v>
      </c>
      <c r="Y132" s="124">
        <f t="shared" si="59"/>
        <v>0</v>
      </c>
      <c r="Z132" s="124">
        <f t="shared" si="59"/>
        <v>11617200</v>
      </c>
      <c r="AA132" s="201">
        <f>O132-Z132</f>
        <v>0</v>
      </c>
    </row>
    <row r="133" spans="1:29" ht="15" customHeight="1" x14ac:dyDescent="0.25">
      <c r="A133" s="93" t="s">
        <v>61</v>
      </c>
      <c r="B133" s="101">
        <v>1</v>
      </c>
      <c r="C133" s="101">
        <v>12</v>
      </c>
      <c r="D133" s="219">
        <v>5300000</v>
      </c>
      <c r="E133" s="219"/>
      <c r="F133" s="102"/>
      <c r="G133" s="102"/>
      <c r="H133" s="94">
        <f>+H134</f>
        <v>16000000</v>
      </c>
      <c r="I133" s="102"/>
      <c r="J133" s="102"/>
      <c r="K133" s="102"/>
      <c r="L133" s="102"/>
      <c r="M133" s="102"/>
      <c r="N133" s="94">
        <f>H133</f>
        <v>16000000</v>
      </c>
      <c r="O133" s="94">
        <f>H133</f>
        <v>16000000</v>
      </c>
      <c r="P133" s="94">
        <f>N133-O133</f>
        <v>0</v>
      </c>
      <c r="Q133" s="105">
        <f>+Q134</f>
        <v>971666.75</v>
      </c>
      <c r="R133" s="105">
        <f>+R134</f>
        <v>1325000</v>
      </c>
      <c r="S133" s="105">
        <f>+S134</f>
        <v>1325000</v>
      </c>
      <c r="T133" s="105">
        <f t="shared" ref="T133:X133" si="60">+T134</f>
        <v>1325000</v>
      </c>
      <c r="U133" s="105">
        <f t="shared" si="60"/>
        <v>0</v>
      </c>
      <c r="V133" s="105">
        <f t="shared" si="60"/>
        <v>0</v>
      </c>
      <c r="W133" s="105">
        <f t="shared" si="60"/>
        <v>0</v>
      </c>
      <c r="X133" s="105">
        <f t="shared" si="60"/>
        <v>0</v>
      </c>
      <c r="Y133" s="105"/>
      <c r="Z133" s="105">
        <f>SUM(Z134)</f>
        <v>4946666.75</v>
      </c>
      <c r="AA133" s="202">
        <f>+AA134</f>
        <v>11053333.25</v>
      </c>
      <c r="AB133" s="13"/>
    </row>
    <row r="134" spans="1:29" ht="15" customHeight="1" x14ac:dyDescent="0.25">
      <c r="A134" s="35" t="s">
        <v>98</v>
      </c>
      <c r="B134" s="98"/>
      <c r="C134" s="98"/>
      <c r="D134" s="221">
        <v>0</v>
      </c>
      <c r="E134" s="221"/>
      <c r="F134" s="189"/>
      <c r="G134" s="189"/>
      <c r="H134" s="224">
        <v>16000000</v>
      </c>
      <c r="I134" s="189"/>
      <c r="J134" s="189"/>
      <c r="K134" s="189"/>
      <c r="L134" s="189"/>
      <c r="M134" s="189"/>
      <c r="N134" s="189"/>
      <c r="O134" s="189">
        <f>H134</f>
        <v>16000000</v>
      </c>
      <c r="P134" s="189"/>
      <c r="Q134" s="99">
        <f>3886667*25%</f>
        <v>971666.75</v>
      </c>
      <c r="R134" s="99">
        <f>5300000*25%</f>
        <v>1325000</v>
      </c>
      <c r="S134" s="99">
        <f>5300000*25%</f>
        <v>1325000</v>
      </c>
      <c r="T134" s="260">
        <f>5300000*25%</f>
        <v>1325000</v>
      </c>
      <c r="U134" s="99">
        <v>0</v>
      </c>
      <c r="V134" s="99">
        <v>0</v>
      </c>
      <c r="W134" s="99">
        <v>0</v>
      </c>
      <c r="X134" s="99">
        <v>0</v>
      </c>
      <c r="Y134" s="99"/>
      <c r="Z134" s="106">
        <f>SUM(Q134:Y134)</f>
        <v>4946666.75</v>
      </c>
      <c r="AA134" s="212">
        <f>O134-Z134</f>
        <v>11053333.25</v>
      </c>
      <c r="AB134" s="13"/>
    </row>
    <row r="135" spans="1:29" ht="15" customHeight="1" x14ac:dyDescent="0.25">
      <c r="A135" s="35"/>
      <c r="B135" s="98"/>
      <c r="C135" s="98"/>
      <c r="D135" s="221"/>
      <c r="E135" s="221"/>
      <c r="F135" s="189"/>
      <c r="G135" s="189"/>
      <c r="H135" s="224"/>
      <c r="I135" s="189"/>
      <c r="J135" s="189"/>
      <c r="K135" s="189"/>
      <c r="L135" s="189"/>
      <c r="M135" s="189"/>
      <c r="N135" s="189"/>
      <c r="O135" s="189"/>
      <c r="P135" s="18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100"/>
      <c r="AB135" s="13"/>
    </row>
    <row r="136" spans="1:29" ht="15" customHeight="1" x14ac:dyDescent="0.25">
      <c r="A136" s="93" t="s">
        <v>159</v>
      </c>
      <c r="B136" s="101">
        <v>3</v>
      </c>
      <c r="C136" s="101">
        <v>10</v>
      </c>
      <c r="D136" s="219">
        <v>1995000</v>
      </c>
      <c r="E136" s="219"/>
      <c r="F136" s="102"/>
      <c r="G136" s="102"/>
      <c r="H136" s="94">
        <f>(B136*C136*D136)*0.7</f>
        <v>41895000</v>
      </c>
      <c r="I136" s="102"/>
      <c r="J136" s="102"/>
      <c r="K136" s="102"/>
      <c r="L136" s="102"/>
      <c r="M136" s="102"/>
      <c r="N136" s="94">
        <f>H136</f>
        <v>41895000</v>
      </c>
      <c r="O136" s="94">
        <f>SUM(O137:O139)</f>
        <v>22344000</v>
      </c>
      <c r="P136" s="94">
        <f>N136-O136</f>
        <v>19551000</v>
      </c>
      <c r="Q136" s="94">
        <f>+Q137+Q138+Q139</f>
        <v>1768900</v>
      </c>
      <c r="R136" s="94">
        <f>+R137+R138+R139</f>
        <v>2793000</v>
      </c>
      <c r="S136" s="94">
        <f>+S137+S138+S139</f>
        <v>2793000</v>
      </c>
      <c r="T136" s="94">
        <f>+T137+T138+T139</f>
        <v>3863650</v>
      </c>
      <c r="U136" s="94"/>
      <c r="V136" s="94"/>
      <c r="W136" s="94"/>
      <c r="X136" s="94"/>
      <c r="Y136" s="94"/>
      <c r="Z136" s="105">
        <f>SUM(Z137:Z139)</f>
        <v>11218550</v>
      </c>
      <c r="AA136" s="202">
        <f>SUM(AA137:AA139)</f>
        <v>11125450</v>
      </c>
    </row>
    <row r="137" spans="1:29" ht="15" customHeight="1" x14ac:dyDescent="0.25">
      <c r="A137" s="225" t="s">
        <v>166</v>
      </c>
      <c r="B137" s="104">
        <v>1</v>
      </c>
      <c r="C137" s="104">
        <v>4.5</v>
      </c>
      <c r="D137" s="226">
        <v>1995000</v>
      </c>
      <c r="E137" s="222"/>
      <c r="F137" s="224"/>
      <c r="G137" s="224"/>
      <c r="H137" s="226">
        <f>(C137*D137)*70%</f>
        <v>6284250</v>
      </c>
      <c r="I137" s="224"/>
      <c r="J137" s="224"/>
      <c r="K137" s="224"/>
      <c r="L137" s="224"/>
      <c r="M137" s="224"/>
      <c r="N137" s="224"/>
      <c r="O137" s="224">
        <f>H137</f>
        <v>6284250</v>
      </c>
      <c r="P137" s="224"/>
      <c r="Q137" s="99">
        <f>1064000*70%</f>
        <v>744800</v>
      </c>
      <c r="R137" s="99">
        <f>1995000*70%</f>
        <v>1396500</v>
      </c>
      <c r="S137" s="99">
        <f>1995000*70%</f>
        <v>1396500</v>
      </c>
      <c r="T137" s="260">
        <f t="shared" ref="T137:T138" si="61">1995000*70%</f>
        <v>1396500</v>
      </c>
      <c r="U137" s="99">
        <v>0</v>
      </c>
      <c r="V137" s="99">
        <v>0</v>
      </c>
      <c r="W137" s="99">
        <v>0</v>
      </c>
      <c r="X137" s="99">
        <v>0</v>
      </c>
      <c r="Y137" s="99"/>
      <c r="Z137" s="106">
        <f t="shared" ref="Z137:Z139" si="62">SUM(Q137:Y137)</f>
        <v>4934300</v>
      </c>
      <c r="AA137" s="212">
        <f t="shared" ref="AA137:AA139" si="63">O137-Z137</f>
        <v>1349950</v>
      </c>
    </row>
    <row r="138" spans="1:29" ht="15" customHeight="1" x14ac:dyDescent="0.25">
      <c r="A138" s="225" t="s">
        <v>167</v>
      </c>
      <c r="B138" s="104">
        <v>1</v>
      </c>
      <c r="C138" s="104">
        <v>4.5</v>
      </c>
      <c r="D138" s="226">
        <v>1995000</v>
      </c>
      <c r="E138" s="222"/>
      <c r="F138" s="224"/>
      <c r="G138" s="224"/>
      <c r="H138" s="226">
        <f t="shared" ref="H138" si="64">(B138*C138*D138)*70%</f>
        <v>6284250</v>
      </c>
      <c r="I138" s="224"/>
      <c r="J138" s="224"/>
      <c r="K138" s="224"/>
      <c r="L138" s="224"/>
      <c r="M138" s="224"/>
      <c r="N138" s="224"/>
      <c r="O138" s="224">
        <f>H138</f>
        <v>6284250</v>
      </c>
      <c r="P138" s="224"/>
      <c r="Q138" s="99">
        <f>1463000*70%</f>
        <v>1024099.9999999999</v>
      </c>
      <c r="R138" s="99">
        <f>1995000*70%</f>
        <v>1396500</v>
      </c>
      <c r="S138" s="99">
        <f>1995000*70%</f>
        <v>1396500</v>
      </c>
      <c r="T138" s="260">
        <f t="shared" si="61"/>
        <v>1396500</v>
      </c>
      <c r="U138" s="169"/>
      <c r="V138" s="99"/>
      <c r="W138" s="99">
        <v>0</v>
      </c>
      <c r="X138" s="99">
        <v>0</v>
      </c>
      <c r="Y138" s="99"/>
      <c r="Z138" s="106">
        <f t="shared" si="62"/>
        <v>5213600</v>
      </c>
      <c r="AA138" s="212">
        <f t="shared" si="63"/>
        <v>1070650</v>
      </c>
    </row>
    <row r="139" spans="1:29" ht="15" customHeight="1" x14ac:dyDescent="0.25">
      <c r="A139" s="225" t="s">
        <v>168</v>
      </c>
      <c r="B139" s="104">
        <v>1</v>
      </c>
      <c r="C139" s="104">
        <v>7</v>
      </c>
      <c r="D139" s="226">
        <v>1995000</v>
      </c>
      <c r="E139" s="222"/>
      <c r="F139" s="224"/>
      <c r="G139" s="224"/>
      <c r="H139" s="222">
        <f>(B139*C139*D139)*70%</f>
        <v>9775500</v>
      </c>
      <c r="I139" s="224"/>
      <c r="J139" s="224"/>
      <c r="K139" s="224"/>
      <c r="L139" s="224"/>
      <c r="M139" s="224"/>
      <c r="N139" s="224"/>
      <c r="O139" s="224">
        <f>H139</f>
        <v>9775500</v>
      </c>
      <c r="P139" s="224"/>
      <c r="Q139" s="99"/>
      <c r="R139" s="99"/>
      <c r="S139" s="99"/>
      <c r="T139" s="260">
        <f>1529500*70%</f>
        <v>1070650</v>
      </c>
      <c r="U139" s="169"/>
      <c r="V139" s="99"/>
      <c r="W139" s="99"/>
      <c r="X139" s="99"/>
      <c r="Y139" s="99"/>
      <c r="Z139" s="106">
        <f t="shared" si="62"/>
        <v>1070650</v>
      </c>
      <c r="AA139" s="212">
        <f t="shared" si="63"/>
        <v>8704850</v>
      </c>
    </row>
    <row r="140" spans="1:29" ht="15" customHeight="1" x14ac:dyDescent="0.25">
      <c r="A140" s="35"/>
      <c r="B140" s="104"/>
      <c r="C140" s="104"/>
      <c r="D140" s="222"/>
      <c r="E140" s="222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99"/>
      <c r="R140" s="99"/>
      <c r="S140" s="99"/>
      <c r="T140" s="99"/>
      <c r="U140" s="169"/>
      <c r="V140" s="99"/>
      <c r="W140" s="99"/>
      <c r="X140" s="99"/>
      <c r="Y140" s="99"/>
      <c r="Z140" s="106"/>
      <c r="AA140" s="174"/>
    </row>
    <row r="141" spans="1:29" ht="15" customHeight="1" x14ac:dyDescent="0.25">
      <c r="A141" s="93" t="s">
        <v>157</v>
      </c>
      <c r="B141" s="101">
        <v>4</v>
      </c>
      <c r="C141" s="101">
        <v>9</v>
      </c>
      <c r="D141" s="219">
        <v>1995000</v>
      </c>
      <c r="E141" s="219">
        <v>0</v>
      </c>
      <c r="F141" s="102">
        <v>0</v>
      </c>
      <c r="G141" s="102">
        <v>0</v>
      </c>
      <c r="H141" s="94">
        <v>31920000</v>
      </c>
      <c r="I141" s="102">
        <v>0</v>
      </c>
      <c r="J141" s="102">
        <v>0</v>
      </c>
      <c r="K141" s="102">
        <v>0</v>
      </c>
      <c r="L141" s="102"/>
      <c r="M141" s="102">
        <v>0</v>
      </c>
      <c r="N141" s="94">
        <f>SUM(E141:M141)</f>
        <v>31920000</v>
      </c>
      <c r="O141" s="94">
        <f>SUM(O142:O145)</f>
        <v>23940000</v>
      </c>
      <c r="P141" s="94">
        <f>N141-O141</f>
        <v>7980000</v>
      </c>
      <c r="Q141" s="102">
        <f>+Q156</f>
        <v>0</v>
      </c>
      <c r="R141" s="102">
        <f>+R156</f>
        <v>0</v>
      </c>
      <c r="S141" s="102">
        <v>0</v>
      </c>
      <c r="T141" s="94">
        <f>+T142+T143+T144+T145</f>
        <v>1141140</v>
      </c>
      <c r="U141" s="102">
        <v>0</v>
      </c>
      <c r="V141" s="102">
        <f>+V137+V138</f>
        <v>0</v>
      </c>
      <c r="W141" s="102">
        <f>+W137+W138</f>
        <v>0</v>
      </c>
      <c r="X141" s="102">
        <f>+X137+X138</f>
        <v>0</v>
      </c>
      <c r="Y141" s="102"/>
      <c r="Z141" s="105">
        <f>SUM(Z142:Z145)</f>
        <v>1141140</v>
      </c>
      <c r="AA141" s="202">
        <f>SUM(AA142:AA145)</f>
        <v>22798860</v>
      </c>
    </row>
    <row r="142" spans="1:29" s="2" customFormat="1" ht="15" customHeight="1" x14ac:dyDescent="0.25">
      <c r="A142" s="211" t="s">
        <v>182</v>
      </c>
      <c r="B142" s="173">
        <v>1</v>
      </c>
      <c r="C142" s="173">
        <v>9</v>
      </c>
      <c r="D142" s="226">
        <v>1995000</v>
      </c>
      <c r="E142" s="226"/>
      <c r="F142" s="182"/>
      <c r="G142" s="182"/>
      <c r="H142" s="182">
        <v>7980000</v>
      </c>
      <c r="I142" s="182"/>
      <c r="J142" s="182"/>
      <c r="K142" s="182"/>
      <c r="L142" s="182"/>
      <c r="M142" s="182"/>
      <c r="N142" s="187"/>
      <c r="O142" s="224">
        <f t="shared" ref="O142:O145" si="65">H142</f>
        <v>7980000</v>
      </c>
      <c r="P142" s="187"/>
      <c r="Q142" s="182"/>
      <c r="R142" s="182"/>
      <c r="S142" s="182"/>
      <c r="T142" s="261">
        <f>(1263500*44%)</f>
        <v>555940</v>
      </c>
      <c r="U142" s="182"/>
      <c r="V142" s="182"/>
      <c r="W142" s="182"/>
      <c r="X142" s="182"/>
      <c r="Y142" s="182"/>
      <c r="Z142" s="106">
        <f t="shared" ref="Z142:Z145" si="66">SUM(Q142:Y142)</f>
        <v>555940</v>
      </c>
      <c r="AA142" s="212">
        <f t="shared" ref="AA142:AA145" si="67">O142-Z142</f>
        <v>7424060</v>
      </c>
      <c r="AC142" s="188"/>
    </row>
    <row r="143" spans="1:29" s="2" customFormat="1" ht="15" customHeight="1" x14ac:dyDescent="0.25">
      <c r="A143" s="211" t="s">
        <v>183</v>
      </c>
      <c r="B143" s="173">
        <v>1</v>
      </c>
      <c r="C143" s="173">
        <v>9</v>
      </c>
      <c r="D143" s="226">
        <v>1995000</v>
      </c>
      <c r="E143" s="226"/>
      <c r="F143" s="182"/>
      <c r="G143" s="182"/>
      <c r="H143" s="182">
        <v>7980000</v>
      </c>
      <c r="I143" s="182"/>
      <c r="J143" s="182"/>
      <c r="K143" s="182"/>
      <c r="L143" s="182"/>
      <c r="M143" s="182"/>
      <c r="N143" s="187"/>
      <c r="O143" s="224">
        <f t="shared" si="65"/>
        <v>7980000</v>
      </c>
      <c r="P143" s="187"/>
      <c r="Q143" s="182"/>
      <c r="R143" s="182"/>
      <c r="S143" s="182"/>
      <c r="T143" s="261">
        <f>(731500*44%)</f>
        <v>321860</v>
      </c>
      <c r="U143" s="182"/>
      <c r="V143" s="182"/>
      <c r="W143" s="182"/>
      <c r="X143" s="182"/>
      <c r="Y143" s="182"/>
      <c r="Z143" s="106">
        <f t="shared" si="66"/>
        <v>321860</v>
      </c>
      <c r="AA143" s="212">
        <f t="shared" si="67"/>
        <v>7658140</v>
      </c>
    </row>
    <row r="144" spans="1:29" s="2" customFormat="1" ht="15" customHeight="1" x14ac:dyDescent="0.25">
      <c r="A144" s="211" t="s">
        <v>184</v>
      </c>
      <c r="B144" s="173">
        <v>1</v>
      </c>
      <c r="C144" s="173">
        <v>9</v>
      </c>
      <c r="D144" s="226">
        <v>1995000</v>
      </c>
      <c r="E144" s="226"/>
      <c r="F144" s="182"/>
      <c r="G144" s="182"/>
      <c r="H144" s="182">
        <v>7980000</v>
      </c>
      <c r="I144" s="182"/>
      <c r="J144" s="182"/>
      <c r="K144" s="182"/>
      <c r="L144" s="182"/>
      <c r="M144" s="182"/>
      <c r="N144" s="187"/>
      <c r="O144" s="224">
        <f t="shared" si="65"/>
        <v>7980000</v>
      </c>
      <c r="P144" s="187"/>
      <c r="Q144" s="182"/>
      <c r="R144" s="182"/>
      <c r="S144" s="182"/>
      <c r="T144" s="261">
        <f>(598500*44%)</f>
        <v>263340</v>
      </c>
      <c r="U144" s="182"/>
      <c r="V144" s="182"/>
      <c r="W144" s="182"/>
      <c r="X144" s="182"/>
      <c r="Y144" s="182"/>
      <c r="Z144" s="106">
        <f t="shared" si="66"/>
        <v>263340</v>
      </c>
      <c r="AA144" s="212">
        <f t="shared" si="67"/>
        <v>7716660</v>
      </c>
    </row>
    <row r="145" spans="1:30" s="2" customFormat="1" ht="15" customHeight="1" x14ac:dyDescent="0.25">
      <c r="A145" s="181"/>
      <c r="B145" s="173"/>
      <c r="C145" s="173"/>
      <c r="D145" s="226"/>
      <c r="E145" s="226"/>
      <c r="F145" s="182"/>
      <c r="G145" s="182"/>
      <c r="H145" s="187"/>
      <c r="I145" s="182"/>
      <c r="J145" s="182"/>
      <c r="K145" s="182"/>
      <c r="L145" s="182"/>
      <c r="M145" s="182"/>
      <c r="N145" s="187"/>
      <c r="O145" s="224">
        <f t="shared" si="65"/>
        <v>0</v>
      </c>
      <c r="P145" s="187"/>
      <c r="Q145" s="182"/>
      <c r="R145" s="182"/>
      <c r="S145" s="182"/>
      <c r="T145" s="182"/>
      <c r="U145" s="182"/>
      <c r="V145" s="182"/>
      <c r="W145" s="182"/>
      <c r="X145" s="182"/>
      <c r="Y145" s="182"/>
      <c r="Z145" s="106">
        <f t="shared" si="66"/>
        <v>0</v>
      </c>
      <c r="AA145" s="212">
        <f t="shared" si="67"/>
        <v>0</v>
      </c>
    </row>
    <row r="146" spans="1:30" s="2" customFormat="1" ht="15" customHeight="1" x14ac:dyDescent="0.25">
      <c r="A146" s="181"/>
      <c r="B146" s="173"/>
      <c r="C146" s="173"/>
      <c r="D146" s="226"/>
      <c r="E146" s="226"/>
      <c r="F146" s="182"/>
      <c r="G146" s="182"/>
      <c r="H146" s="187"/>
      <c r="I146" s="182"/>
      <c r="J146" s="182"/>
      <c r="K146" s="182"/>
      <c r="L146" s="182"/>
      <c r="M146" s="182"/>
      <c r="N146" s="187"/>
      <c r="O146" s="187"/>
      <c r="P146" s="187"/>
      <c r="Q146" s="182"/>
      <c r="R146" s="182"/>
      <c r="S146" s="182"/>
      <c r="T146" s="182"/>
      <c r="U146" s="182"/>
      <c r="V146" s="182"/>
      <c r="W146" s="182"/>
      <c r="X146" s="182"/>
      <c r="Y146" s="182"/>
      <c r="Z146" s="125"/>
      <c r="AA146" s="204"/>
      <c r="AB146" s="188"/>
    </row>
    <row r="147" spans="1:30" ht="15" customHeight="1" x14ac:dyDescent="0.25">
      <c r="A147" s="93" t="s">
        <v>127</v>
      </c>
      <c r="B147" s="101">
        <v>8</v>
      </c>
      <c r="C147" s="101">
        <v>9</v>
      </c>
      <c r="D147" s="219">
        <v>1590000</v>
      </c>
      <c r="E147" s="219"/>
      <c r="F147" s="102"/>
      <c r="G147" s="102"/>
      <c r="H147" s="94">
        <v>50880000</v>
      </c>
      <c r="I147" s="102"/>
      <c r="J147" s="102"/>
      <c r="K147" s="102"/>
      <c r="L147" s="102"/>
      <c r="M147" s="102"/>
      <c r="N147" s="94">
        <f>SUM(E147:M147)</f>
        <v>50880000</v>
      </c>
      <c r="O147" s="94">
        <f>SUM(O148:O155)</f>
        <v>38160000</v>
      </c>
      <c r="P147" s="94">
        <f>N147-O147</f>
        <v>12720000</v>
      </c>
      <c r="Q147" s="102"/>
      <c r="R147" s="102"/>
      <c r="S147" s="102"/>
      <c r="T147" s="94">
        <f>+T148+T149+T150+T151+T152+T153+T154+T155</f>
        <v>1818960</v>
      </c>
      <c r="U147" s="102"/>
      <c r="V147" s="102"/>
      <c r="W147" s="102"/>
      <c r="X147" s="102"/>
      <c r="Y147" s="102"/>
      <c r="Z147" s="105">
        <f>SUM(Z148:Z155)</f>
        <v>1818960</v>
      </c>
      <c r="AA147" s="202">
        <f>SUM(AA148:AA155)</f>
        <v>36341040</v>
      </c>
      <c r="AB147" s="13"/>
    </row>
    <row r="148" spans="1:30" s="2" customFormat="1" ht="15" customHeight="1" x14ac:dyDescent="0.25">
      <c r="A148" s="211" t="s">
        <v>185</v>
      </c>
      <c r="B148" s="173">
        <v>1</v>
      </c>
      <c r="C148" s="173">
        <v>9</v>
      </c>
      <c r="D148" s="226">
        <v>1590000</v>
      </c>
      <c r="E148" s="226"/>
      <c r="F148" s="182"/>
      <c r="G148" s="182"/>
      <c r="H148" s="182">
        <v>6360000</v>
      </c>
      <c r="I148" s="182"/>
      <c r="J148" s="182"/>
      <c r="K148" s="182"/>
      <c r="L148" s="182"/>
      <c r="M148" s="182"/>
      <c r="N148" s="187"/>
      <c r="O148" s="224">
        <f t="shared" ref="O148:O155" si="68">H148</f>
        <v>6360000</v>
      </c>
      <c r="P148" s="187"/>
      <c r="Q148" s="182"/>
      <c r="R148" s="182"/>
      <c r="S148" s="182"/>
      <c r="T148" s="261">
        <f>318000*44%</f>
        <v>139920</v>
      </c>
      <c r="U148" s="182"/>
      <c r="V148" s="182"/>
      <c r="W148" s="182"/>
      <c r="X148" s="182"/>
      <c r="Y148" s="182"/>
      <c r="Z148" s="106">
        <f t="shared" ref="Z148:Z155" si="69">SUM(Q148:Y148)</f>
        <v>139920</v>
      </c>
      <c r="AA148" s="212">
        <f t="shared" ref="AA148:AA155" si="70">O148-Z148</f>
        <v>6220080</v>
      </c>
    </row>
    <row r="149" spans="1:30" s="2" customFormat="1" ht="15" customHeight="1" x14ac:dyDescent="0.25">
      <c r="A149" s="211" t="s">
        <v>186</v>
      </c>
      <c r="B149" s="173">
        <v>1</v>
      </c>
      <c r="C149" s="173">
        <v>9</v>
      </c>
      <c r="D149" s="226">
        <v>1590000</v>
      </c>
      <c r="E149" s="226"/>
      <c r="F149" s="182"/>
      <c r="G149" s="182"/>
      <c r="H149" s="182">
        <v>6360000</v>
      </c>
      <c r="I149" s="182"/>
      <c r="J149" s="182"/>
      <c r="K149" s="182"/>
      <c r="L149" s="182"/>
      <c r="M149" s="182"/>
      <c r="N149" s="187"/>
      <c r="O149" s="224">
        <f t="shared" si="68"/>
        <v>6360000</v>
      </c>
      <c r="P149" s="187"/>
      <c r="Q149" s="182"/>
      <c r="R149" s="182"/>
      <c r="S149" s="182"/>
      <c r="T149" s="261">
        <f>1166000*44%</f>
        <v>513040</v>
      </c>
      <c r="U149" s="182"/>
      <c r="V149" s="182"/>
      <c r="W149" s="182"/>
      <c r="X149" s="182"/>
      <c r="Y149" s="182"/>
      <c r="Z149" s="106">
        <f t="shared" si="69"/>
        <v>513040</v>
      </c>
      <c r="AA149" s="212">
        <f t="shared" si="70"/>
        <v>5846960</v>
      </c>
      <c r="AD149" s="188"/>
    </row>
    <row r="150" spans="1:30" s="2" customFormat="1" ht="15" customHeight="1" x14ac:dyDescent="0.25">
      <c r="A150" s="211" t="s">
        <v>187</v>
      </c>
      <c r="B150" s="173">
        <v>1</v>
      </c>
      <c r="C150" s="173">
        <v>9</v>
      </c>
      <c r="D150" s="226">
        <v>1590000</v>
      </c>
      <c r="E150" s="226"/>
      <c r="F150" s="182"/>
      <c r="G150" s="182"/>
      <c r="H150" s="182">
        <v>6360000</v>
      </c>
      <c r="I150" s="182"/>
      <c r="J150" s="182"/>
      <c r="K150" s="182"/>
      <c r="L150" s="182"/>
      <c r="M150" s="182"/>
      <c r="N150" s="187"/>
      <c r="O150" s="224">
        <f t="shared" si="68"/>
        <v>6360000</v>
      </c>
      <c r="P150" s="187"/>
      <c r="Q150" s="182"/>
      <c r="R150" s="182"/>
      <c r="S150" s="182"/>
      <c r="T150" s="261">
        <f>901000*44%</f>
        <v>396440</v>
      </c>
      <c r="U150" s="182"/>
      <c r="V150" s="182"/>
      <c r="W150" s="182"/>
      <c r="X150" s="182"/>
      <c r="Y150" s="182"/>
      <c r="Z150" s="106">
        <f t="shared" si="69"/>
        <v>396440</v>
      </c>
      <c r="AA150" s="212">
        <f t="shared" si="70"/>
        <v>5963560</v>
      </c>
      <c r="AD150" s="188"/>
    </row>
    <row r="151" spans="1:30" s="2" customFormat="1" ht="15" customHeight="1" x14ac:dyDescent="0.25">
      <c r="A151" s="211" t="s">
        <v>188</v>
      </c>
      <c r="B151" s="173">
        <v>1</v>
      </c>
      <c r="C151" s="173">
        <v>9</v>
      </c>
      <c r="D151" s="226">
        <v>1590000</v>
      </c>
      <c r="E151" s="226"/>
      <c r="F151" s="182"/>
      <c r="G151" s="182"/>
      <c r="H151" s="182">
        <v>6360000</v>
      </c>
      <c r="I151" s="182"/>
      <c r="J151" s="182"/>
      <c r="K151" s="182"/>
      <c r="L151" s="182"/>
      <c r="M151" s="182"/>
      <c r="N151" s="187"/>
      <c r="O151" s="224">
        <f t="shared" si="68"/>
        <v>6360000</v>
      </c>
      <c r="P151" s="187"/>
      <c r="Q151" s="182"/>
      <c r="R151" s="182"/>
      <c r="S151" s="182"/>
      <c r="T151" s="261">
        <f>901000*44%</f>
        <v>396440</v>
      </c>
      <c r="U151" s="182"/>
      <c r="V151" s="182"/>
      <c r="W151" s="182"/>
      <c r="X151" s="182"/>
      <c r="Y151" s="182"/>
      <c r="Z151" s="106">
        <f t="shared" si="69"/>
        <v>396440</v>
      </c>
      <c r="AA151" s="212">
        <f t="shared" si="70"/>
        <v>5963560</v>
      </c>
    </row>
    <row r="152" spans="1:30" s="2" customFormat="1" ht="15" customHeight="1" x14ac:dyDescent="0.25">
      <c r="A152" s="211" t="s">
        <v>189</v>
      </c>
      <c r="B152" s="173">
        <v>1</v>
      </c>
      <c r="C152" s="173">
        <v>9</v>
      </c>
      <c r="D152" s="226">
        <v>1590000</v>
      </c>
      <c r="E152" s="226"/>
      <c r="F152" s="182"/>
      <c r="G152" s="182"/>
      <c r="H152" s="182">
        <v>6360000</v>
      </c>
      <c r="I152" s="182"/>
      <c r="J152" s="182"/>
      <c r="K152" s="182"/>
      <c r="L152" s="182"/>
      <c r="M152" s="182"/>
      <c r="N152" s="187"/>
      <c r="O152" s="224">
        <f t="shared" si="68"/>
        <v>6360000</v>
      </c>
      <c r="P152" s="187"/>
      <c r="Q152" s="182"/>
      <c r="R152" s="182"/>
      <c r="S152" s="182"/>
      <c r="T152" s="261">
        <f>848000*44%</f>
        <v>373120</v>
      </c>
      <c r="U152" s="182"/>
      <c r="V152" s="182"/>
      <c r="W152" s="182"/>
      <c r="X152" s="182"/>
      <c r="Y152" s="182"/>
      <c r="Z152" s="106">
        <f t="shared" si="69"/>
        <v>373120</v>
      </c>
      <c r="AA152" s="212">
        <f t="shared" si="70"/>
        <v>5986880</v>
      </c>
      <c r="AD152" s="188"/>
    </row>
    <row r="153" spans="1:30" s="2" customFormat="1" ht="15" customHeight="1" x14ac:dyDescent="0.25">
      <c r="A153" s="172"/>
      <c r="B153" s="173">
        <v>1</v>
      </c>
      <c r="C153" s="173">
        <v>9</v>
      </c>
      <c r="D153" s="226">
        <v>1590000</v>
      </c>
      <c r="E153" s="226"/>
      <c r="F153" s="182"/>
      <c r="G153" s="182"/>
      <c r="H153" s="182">
        <v>6360000</v>
      </c>
      <c r="I153" s="182"/>
      <c r="J153" s="182"/>
      <c r="K153" s="182"/>
      <c r="L153" s="182"/>
      <c r="M153" s="182"/>
      <c r="N153" s="187"/>
      <c r="O153" s="224">
        <f t="shared" si="68"/>
        <v>6360000</v>
      </c>
      <c r="P153" s="187"/>
      <c r="Q153" s="182"/>
      <c r="R153" s="182"/>
      <c r="S153" s="182"/>
      <c r="T153" s="182"/>
      <c r="U153" s="182"/>
      <c r="V153" s="182"/>
      <c r="W153" s="182"/>
      <c r="X153" s="182"/>
      <c r="Y153" s="182"/>
      <c r="Z153" s="106">
        <f t="shared" si="69"/>
        <v>0</v>
      </c>
      <c r="AA153" s="212">
        <f t="shared" si="70"/>
        <v>6360000</v>
      </c>
    </row>
    <row r="154" spans="1:30" s="2" customFormat="1" ht="15" customHeight="1" x14ac:dyDescent="0.25">
      <c r="A154" s="181"/>
      <c r="B154" s="173"/>
      <c r="C154" s="173"/>
      <c r="D154" s="226"/>
      <c r="E154" s="226"/>
      <c r="F154" s="182"/>
      <c r="G154" s="182"/>
      <c r="H154" s="182"/>
      <c r="I154" s="182"/>
      <c r="J154" s="182"/>
      <c r="K154" s="182"/>
      <c r="L154" s="182"/>
      <c r="M154" s="182"/>
      <c r="N154" s="187"/>
      <c r="O154" s="224">
        <f t="shared" si="68"/>
        <v>0</v>
      </c>
      <c r="P154" s="187"/>
      <c r="Q154" s="182"/>
      <c r="R154" s="182"/>
      <c r="S154" s="182"/>
      <c r="T154" s="182"/>
      <c r="U154" s="182"/>
      <c r="V154" s="182"/>
      <c r="W154" s="182"/>
      <c r="X154" s="182"/>
      <c r="Y154" s="182"/>
      <c r="Z154" s="106">
        <f t="shared" si="69"/>
        <v>0</v>
      </c>
      <c r="AA154" s="212">
        <f t="shared" si="70"/>
        <v>0</v>
      </c>
    </row>
    <row r="155" spans="1:30" s="2" customFormat="1" ht="15" customHeight="1" x14ac:dyDescent="0.25">
      <c r="A155" s="181"/>
      <c r="B155" s="173"/>
      <c r="C155" s="173"/>
      <c r="D155" s="226"/>
      <c r="E155" s="226"/>
      <c r="F155" s="182"/>
      <c r="G155" s="182"/>
      <c r="H155" s="182"/>
      <c r="I155" s="182"/>
      <c r="J155" s="182"/>
      <c r="K155" s="182"/>
      <c r="L155" s="182"/>
      <c r="M155" s="182"/>
      <c r="N155" s="187"/>
      <c r="O155" s="224">
        <f t="shared" si="68"/>
        <v>0</v>
      </c>
      <c r="P155" s="187"/>
      <c r="Q155" s="182"/>
      <c r="R155" s="182"/>
      <c r="S155" s="182"/>
      <c r="T155" s="182"/>
      <c r="U155" s="182"/>
      <c r="V155" s="182"/>
      <c r="W155" s="182"/>
      <c r="X155" s="182"/>
      <c r="Y155" s="182"/>
      <c r="Z155" s="106">
        <f t="shared" si="69"/>
        <v>0</v>
      </c>
      <c r="AA155" s="212">
        <f t="shared" si="70"/>
        <v>0</v>
      </c>
    </row>
    <row r="156" spans="1:30" s="2" customFormat="1" ht="15" customHeight="1" x14ac:dyDescent="0.25">
      <c r="A156" s="181"/>
      <c r="B156" s="173"/>
      <c r="C156" s="173"/>
      <c r="D156" s="226"/>
      <c r="E156" s="226"/>
      <c r="F156" s="182"/>
      <c r="G156" s="182"/>
      <c r="H156" s="187"/>
      <c r="I156" s="182"/>
      <c r="J156" s="182"/>
      <c r="K156" s="182"/>
      <c r="L156" s="182"/>
      <c r="M156" s="182"/>
      <c r="N156" s="187"/>
      <c r="O156" s="187"/>
      <c r="P156" s="187"/>
      <c r="Q156" s="182"/>
      <c r="R156" s="182"/>
      <c r="S156" s="182"/>
      <c r="T156" s="182"/>
      <c r="U156" s="182"/>
      <c r="V156" s="182"/>
      <c r="W156" s="182"/>
      <c r="X156" s="182"/>
      <c r="Y156" s="182"/>
      <c r="Z156" s="125"/>
      <c r="AA156" s="204"/>
    </row>
    <row r="157" spans="1:30" ht="15" customHeight="1" x14ac:dyDescent="0.25">
      <c r="A157" s="93" t="s">
        <v>141</v>
      </c>
      <c r="B157" s="101"/>
      <c r="C157" s="101"/>
      <c r="D157" s="219">
        <v>0</v>
      </c>
      <c r="E157" s="219">
        <v>0</v>
      </c>
      <c r="F157" s="102">
        <v>0</v>
      </c>
      <c r="G157" s="102">
        <v>0</v>
      </c>
      <c r="H157" s="94">
        <f>H158</f>
        <v>0</v>
      </c>
      <c r="I157" s="102">
        <f>+I158</f>
        <v>0</v>
      </c>
      <c r="J157" s="102">
        <v>0</v>
      </c>
      <c r="K157" s="102">
        <v>0</v>
      </c>
      <c r="L157" s="102"/>
      <c r="M157" s="102">
        <v>0</v>
      </c>
      <c r="N157" s="94">
        <f>SUM(E157:M157)</f>
        <v>0</v>
      </c>
      <c r="O157" s="94">
        <f>O158</f>
        <v>0</v>
      </c>
      <c r="P157" s="94">
        <f>N157-O157</f>
        <v>0</v>
      </c>
      <c r="Q157" s="102">
        <f>Q158</f>
        <v>0</v>
      </c>
      <c r="R157" s="102">
        <f>+R158</f>
        <v>0</v>
      </c>
      <c r="S157" s="102">
        <f>+S158</f>
        <v>0</v>
      </c>
      <c r="T157" s="94">
        <f t="shared" ref="T157:Y157" si="71">+T158</f>
        <v>0</v>
      </c>
      <c r="U157" s="102">
        <v>0</v>
      </c>
      <c r="V157" s="102">
        <v>0</v>
      </c>
      <c r="W157" s="102">
        <f t="shared" si="71"/>
        <v>0</v>
      </c>
      <c r="X157" s="94">
        <f t="shared" si="71"/>
        <v>0</v>
      </c>
      <c r="Y157" s="94">
        <f t="shared" si="71"/>
        <v>0</v>
      </c>
      <c r="Z157" s="94">
        <f>SUM(Z158)</f>
        <v>0</v>
      </c>
      <c r="AA157" s="202">
        <f>+AA158</f>
        <v>0</v>
      </c>
    </row>
    <row r="158" spans="1:30" ht="15" customHeight="1" x14ac:dyDescent="0.25">
      <c r="A158" s="35"/>
      <c r="B158" s="104"/>
      <c r="C158" s="104"/>
      <c r="D158" s="222">
        <v>0</v>
      </c>
      <c r="E158" s="222"/>
      <c r="F158" s="224"/>
      <c r="G158" s="224"/>
      <c r="H158" s="224">
        <v>0</v>
      </c>
      <c r="I158" s="224">
        <v>0</v>
      </c>
      <c r="J158" s="224"/>
      <c r="K158" s="224"/>
      <c r="L158" s="224"/>
      <c r="M158" s="224"/>
      <c r="N158" s="224"/>
      <c r="O158" s="224">
        <f>H158</f>
        <v>0</v>
      </c>
      <c r="P158" s="224"/>
      <c r="Q158" s="99"/>
      <c r="R158" s="99"/>
      <c r="S158" s="99"/>
      <c r="T158" s="99">
        <v>0</v>
      </c>
      <c r="U158" s="99"/>
      <c r="V158" s="99">
        <v>0</v>
      </c>
      <c r="W158" s="99">
        <v>0</v>
      </c>
      <c r="X158" s="99">
        <v>0</v>
      </c>
      <c r="Y158" s="99"/>
      <c r="Z158" s="99">
        <f>SUM(Q158:Y158)</f>
        <v>0</v>
      </c>
      <c r="AA158" s="100"/>
      <c r="AB158" s="13"/>
    </row>
    <row r="159" spans="1:30" ht="15" customHeight="1" x14ac:dyDescent="0.25">
      <c r="A159" s="93" t="s">
        <v>142</v>
      </c>
      <c r="B159" s="101"/>
      <c r="C159" s="101"/>
      <c r="D159" s="219">
        <v>0</v>
      </c>
      <c r="E159" s="219">
        <v>0</v>
      </c>
      <c r="F159" s="102">
        <v>0</v>
      </c>
      <c r="G159" s="102">
        <v>0</v>
      </c>
      <c r="H159" s="94">
        <f>SUM(H160:H161)</f>
        <v>0</v>
      </c>
      <c r="I159" s="102">
        <f>+I160</f>
        <v>0</v>
      </c>
      <c r="J159" s="102">
        <v>0</v>
      </c>
      <c r="K159" s="102">
        <v>0</v>
      </c>
      <c r="L159" s="102"/>
      <c r="M159" s="102">
        <v>0</v>
      </c>
      <c r="N159" s="94">
        <f>SUM(E159:M159)</f>
        <v>0</v>
      </c>
      <c r="O159" s="94">
        <f>SUM(O160:O161)</f>
        <v>0</v>
      </c>
      <c r="P159" s="94">
        <f>N159-O159</f>
        <v>0</v>
      </c>
      <c r="Q159" s="102">
        <f>SUM(Q160:Q161)</f>
        <v>0</v>
      </c>
      <c r="R159" s="102">
        <f>+R160+R161</f>
        <v>0</v>
      </c>
      <c r="S159" s="102">
        <f>+S160+S161</f>
        <v>0</v>
      </c>
      <c r="T159" s="102">
        <f t="shared" ref="T159:Y159" si="72">+T160+T161</f>
        <v>0</v>
      </c>
      <c r="U159" s="102">
        <v>0</v>
      </c>
      <c r="V159" s="94">
        <f>+V160+V161</f>
        <v>0</v>
      </c>
      <c r="W159" s="102">
        <f t="shared" si="72"/>
        <v>0</v>
      </c>
      <c r="X159" s="94">
        <f t="shared" si="72"/>
        <v>0</v>
      </c>
      <c r="Y159" s="94">
        <f t="shared" si="72"/>
        <v>0</v>
      </c>
      <c r="Z159" s="102">
        <f>SUM(Z160)</f>
        <v>0</v>
      </c>
      <c r="AA159" s="202">
        <f>+AA160</f>
        <v>0</v>
      </c>
    </row>
    <row r="160" spans="1:30" ht="15" customHeight="1" x14ac:dyDescent="0.25">
      <c r="A160" s="35"/>
      <c r="B160" s="104"/>
      <c r="C160" s="104"/>
      <c r="D160" s="222">
        <v>0</v>
      </c>
      <c r="E160" s="222"/>
      <c r="F160" s="224"/>
      <c r="G160" s="224"/>
      <c r="H160" s="224">
        <v>0</v>
      </c>
      <c r="I160" s="224">
        <v>0</v>
      </c>
      <c r="J160" s="224"/>
      <c r="K160" s="224"/>
      <c r="L160" s="224"/>
      <c r="M160" s="224"/>
      <c r="N160" s="224"/>
      <c r="O160" s="224">
        <f>H160</f>
        <v>0</v>
      </c>
      <c r="P160" s="224"/>
      <c r="Q160" s="99"/>
      <c r="R160" s="99"/>
      <c r="S160" s="99"/>
      <c r="T160" s="99"/>
      <c r="U160" s="99">
        <v>0</v>
      </c>
      <c r="V160" s="99">
        <v>0</v>
      </c>
      <c r="W160" s="99">
        <v>0</v>
      </c>
      <c r="X160" s="99">
        <v>0</v>
      </c>
      <c r="Y160" s="99"/>
      <c r="Z160" s="99">
        <f>SUM(Q160:Y160)</f>
        <v>0</v>
      </c>
      <c r="AA160" s="100"/>
    </row>
    <row r="161" spans="1:29" ht="15" customHeight="1" x14ac:dyDescent="0.25">
      <c r="A161" s="35"/>
      <c r="B161" s="104"/>
      <c r="C161" s="104"/>
      <c r="D161" s="222">
        <v>0</v>
      </c>
      <c r="E161" s="222"/>
      <c r="F161" s="224"/>
      <c r="G161" s="224"/>
      <c r="H161" s="224">
        <v>0</v>
      </c>
      <c r="I161" s="224"/>
      <c r="J161" s="224"/>
      <c r="K161" s="224"/>
      <c r="L161" s="224"/>
      <c r="M161" s="224"/>
      <c r="N161" s="224"/>
      <c r="O161" s="224">
        <f>H161</f>
        <v>0</v>
      </c>
      <c r="P161" s="224"/>
      <c r="Q161" s="99"/>
      <c r="R161" s="99"/>
      <c r="S161" s="99"/>
      <c r="T161" s="99"/>
      <c r="U161" s="99">
        <v>0</v>
      </c>
      <c r="V161" s="99">
        <v>0</v>
      </c>
      <c r="W161" s="99">
        <v>0</v>
      </c>
      <c r="X161" s="99">
        <v>0</v>
      </c>
      <c r="Y161" s="99"/>
      <c r="Z161" s="99"/>
      <c r="AA161" s="100"/>
    </row>
    <row r="162" spans="1:29" s="92" customFormat="1" x14ac:dyDescent="0.25">
      <c r="A162" s="34" t="s">
        <v>100</v>
      </c>
      <c r="B162" s="107"/>
      <c r="C162" s="107"/>
      <c r="D162" s="218"/>
      <c r="E162" s="108"/>
      <c r="F162" s="108"/>
      <c r="G162" s="108">
        <f>+G29+G31+G36+G41+G72+G157+G159+G141</f>
        <v>0</v>
      </c>
      <c r="H162" s="108">
        <f>+H136+H141+H159+H157+H133+H147</f>
        <v>140695000</v>
      </c>
      <c r="I162" s="108">
        <f>+I157+I159</f>
        <v>0</v>
      </c>
      <c r="J162" s="108">
        <f>+J29+J31+J36+J41+J72+J157+J159+J141</f>
        <v>0</v>
      </c>
      <c r="K162" s="108">
        <f>+K29+K31+K36+K41+K72+K157+K159+K141</f>
        <v>0</v>
      </c>
      <c r="L162" s="108">
        <f>+L29+L31+L36+L41+D22+L157+L159+L141</f>
        <v>0</v>
      </c>
      <c r="M162" s="108">
        <f>+M29+M31+M36+M41+M72+M157+M159+M141</f>
        <v>0</v>
      </c>
      <c r="N162" s="108">
        <f>+N136+N141+N159+N157+N133+N147</f>
        <v>140695000</v>
      </c>
      <c r="O162" s="108">
        <f>+O136+O141+O159+O157+O133+O147</f>
        <v>100444000</v>
      </c>
      <c r="P162" s="108">
        <f>+P147+P141+P136+P133+P157+P159</f>
        <v>40251000</v>
      </c>
      <c r="Q162" s="108">
        <f>+Q136+Q141+Q159+Q157+Q133+Q147</f>
        <v>2740566.75</v>
      </c>
      <c r="R162" s="108">
        <f>+R136+R141+R159+R157+R133+R147</f>
        <v>4118000</v>
      </c>
      <c r="S162" s="108">
        <f>+S136+S141+S159+S157+S133+S147</f>
        <v>4118000</v>
      </c>
      <c r="T162" s="108">
        <f>+T136+T141+T159+T157+T133+T147</f>
        <v>8148750</v>
      </c>
      <c r="U162" s="108">
        <f t="shared" ref="U162:Y162" si="73">+U136+U141+U159+U157+U133+U147</f>
        <v>0</v>
      </c>
      <c r="V162" s="108">
        <f t="shared" si="73"/>
        <v>0</v>
      </c>
      <c r="W162" s="108">
        <f t="shared" si="73"/>
        <v>0</v>
      </c>
      <c r="X162" s="108">
        <f t="shared" si="73"/>
        <v>0</v>
      </c>
      <c r="Y162" s="108">
        <f t="shared" si="73"/>
        <v>0</v>
      </c>
      <c r="Z162" s="108">
        <f>+Z136+Z141+Z147+Z159+Z157+Z133</f>
        <v>19125316.75</v>
      </c>
      <c r="AA162" s="201">
        <f>+AA159+AA157+AA147+AA141+AA136+AA133</f>
        <v>81318683.25</v>
      </c>
    </row>
    <row r="163" spans="1:29" x14ac:dyDescent="0.25">
      <c r="A163" s="34" t="s">
        <v>110</v>
      </c>
      <c r="B163" s="107"/>
      <c r="C163" s="107"/>
      <c r="D163" s="218"/>
      <c r="E163" s="108">
        <f>E134+E132</f>
        <v>0</v>
      </c>
      <c r="F163" s="108">
        <f>F134+F132</f>
        <v>0</v>
      </c>
      <c r="G163" s="108"/>
      <c r="H163" s="108">
        <f>H162+H132</f>
        <v>317095000</v>
      </c>
      <c r="I163" s="108"/>
      <c r="J163" s="108"/>
      <c r="K163" s="108"/>
      <c r="L163" s="108"/>
      <c r="M163" s="108" t="e">
        <f>+M100+#REF!+#REF!+M106+M117+M161+M137+M131</f>
        <v>#REF!</v>
      </c>
      <c r="N163" s="108">
        <f>N162+N132</f>
        <v>317095000</v>
      </c>
      <c r="O163" s="108">
        <f>O162+O132</f>
        <v>112061200</v>
      </c>
      <c r="P163" s="108">
        <f t="shared" ref="P163" si="74">P162+P132</f>
        <v>205033800</v>
      </c>
      <c r="Q163" s="108">
        <f>Q162+Q132</f>
        <v>3392166.75</v>
      </c>
      <c r="R163" s="108">
        <f>R162+R132</f>
        <v>5412200</v>
      </c>
      <c r="S163" s="108">
        <f>S162+S132</f>
        <v>6546200</v>
      </c>
      <c r="T163" s="108">
        <f>T162+T132</f>
        <v>15391950</v>
      </c>
      <c r="U163" s="108">
        <f t="shared" ref="U163:Y163" si="75">U162+U132</f>
        <v>0</v>
      </c>
      <c r="V163" s="108">
        <f t="shared" si="75"/>
        <v>0</v>
      </c>
      <c r="W163" s="108">
        <f t="shared" si="75"/>
        <v>0</v>
      </c>
      <c r="X163" s="108">
        <f t="shared" si="75"/>
        <v>0</v>
      </c>
      <c r="Y163" s="108">
        <f t="shared" si="75"/>
        <v>0</v>
      </c>
      <c r="Z163" s="108">
        <f>Z162+Z132</f>
        <v>30742516.75</v>
      </c>
      <c r="AA163" s="201">
        <f>O163-Z163</f>
        <v>81318683.25</v>
      </c>
    </row>
    <row r="164" spans="1:29" x14ac:dyDescent="0.25">
      <c r="A164" s="213" t="s">
        <v>82</v>
      </c>
      <c r="B164" s="46" t="s">
        <v>46</v>
      </c>
      <c r="C164" s="46">
        <v>1</v>
      </c>
      <c r="D164" s="228"/>
      <c r="E164" s="48"/>
      <c r="F164" s="47"/>
      <c r="G164" s="229"/>
      <c r="H164" s="47">
        <v>126237500</v>
      </c>
      <c r="I164" s="48"/>
      <c r="J164" s="224"/>
      <c r="K164" s="224"/>
      <c r="L164" s="224"/>
      <c r="M164" s="224"/>
      <c r="N164" s="224">
        <f t="shared" ref="N164:N173" si="76">SUM(E164:M164)</f>
        <v>126237500</v>
      </c>
      <c r="O164" s="224">
        <v>0</v>
      </c>
      <c r="P164" s="224">
        <f>N164-O164</f>
        <v>126237500</v>
      </c>
      <c r="Q164" s="99"/>
      <c r="R164" s="99"/>
      <c r="S164" s="99"/>
      <c r="T164" s="99"/>
      <c r="U164" s="99"/>
      <c r="V164" s="99"/>
      <c r="W164" s="99"/>
      <c r="X164" s="99">
        <v>0</v>
      </c>
      <c r="Y164" s="99"/>
      <c r="Z164" s="106">
        <f>SUM(Q164:Y164)</f>
        <v>0</v>
      </c>
      <c r="AA164" s="212">
        <f t="shared" ref="AA164:AA173" si="77">O164-Z164</f>
        <v>0</v>
      </c>
    </row>
    <row r="165" spans="1:29" x14ac:dyDescent="0.25">
      <c r="A165" s="209" t="s">
        <v>85</v>
      </c>
      <c r="B165" s="46" t="s">
        <v>46</v>
      </c>
      <c r="C165" s="46">
        <v>1</v>
      </c>
      <c r="D165" s="228"/>
      <c r="E165" s="47"/>
      <c r="F165" s="47"/>
      <c r="G165" s="229"/>
      <c r="H165" s="47">
        <v>9000000</v>
      </c>
      <c r="I165" s="47"/>
      <c r="J165" s="224"/>
      <c r="K165" s="224"/>
      <c r="L165" s="224"/>
      <c r="M165" s="224"/>
      <c r="N165" s="224">
        <f t="shared" si="76"/>
        <v>9000000</v>
      </c>
      <c r="O165" s="224">
        <v>0</v>
      </c>
      <c r="P165" s="224">
        <f>N165-O165</f>
        <v>9000000</v>
      </c>
      <c r="Q165" s="99"/>
      <c r="R165" s="99"/>
      <c r="S165" s="99"/>
      <c r="T165" s="99"/>
      <c r="U165" s="99"/>
      <c r="V165" s="99"/>
      <c r="W165" s="99"/>
      <c r="X165" s="99"/>
      <c r="Y165" s="99"/>
      <c r="Z165" s="106">
        <f t="shared" ref="Z165:Z173" si="78">SUM(Q165:Y165)</f>
        <v>0</v>
      </c>
      <c r="AA165" s="212">
        <f t="shared" si="77"/>
        <v>0</v>
      </c>
    </row>
    <row r="166" spans="1:29" ht="14.25" customHeight="1" x14ac:dyDescent="0.25">
      <c r="A166" s="254" t="s">
        <v>210</v>
      </c>
      <c r="B166" s="46" t="s">
        <v>46</v>
      </c>
      <c r="C166" s="46">
        <v>1</v>
      </c>
      <c r="D166" s="228"/>
      <c r="E166" s="47"/>
      <c r="F166" s="47"/>
      <c r="G166" s="229"/>
      <c r="H166" s="47">
        <v>16600000</v>
      </c>
      <c r="I166" s="47"/>
      <c r="J166" s="224"/>
      <c r="K166" s="224"/>
      <c r="L166" s="224"/>
      <c r="M166" s="224"/>
      <c r="N166" s="224">
        <f t="shared" si="76"/>
        <v>16600000</v>
      </c>
      <c r="O166" s="224">
        <v>16600000</v>
      </c>
      <c r="P166" s="224">
        <f>N166-O166</f>
        <v>0</v>
      </c>
      <c r="Q166" s="99"/>
      <c r="R166" s="99"/>
      <c r="S166" s="99"/>
      <c r="T166" s="99"/>
      <c r="U166" s="99"/>
      <c r="V166" s="99"/>
      <c r="W166" s="99">
        <v>0</v>
      </c>
      <c r="X166" s="99">
        <v>0</v>
      </c>
      <c r="Y166" s="99"/>
      <c r="Z166" s="106">
        <f>+Z167</f>
        <v>61269.600000000006</v>
      </c>
      <c r="AA166" s="212">
        <f>O166-Z166</f>
        <v>16538730.4</v>
      </c>
    </row>
    <row r="167" spans="1:29" ht="15" customHeight="1" x14ac:dyDescent="0.25">
      <c r="A167" s="257" t="s">
        <v>211</v>
      </c>
      <c r="B167" s="46"/>
      <c r="C167" s="46"/>
      <c r="D167" s="228"/>
      <c r="E167" s="47"/>
      <c r="F167" s="47"/>
      <c r="G167" s="229"/>
      <c r="H167" s="47">
        <v>16600000</v>
      </c>
      <c r="I167" s="47"/>
      <c r="J167" s="224"/>
      <c r="K167" s="224"/>
      <c r="L167" s="224"/>
      <c r="M167" s="224"/>
      <c r="N167" s="224">
        <v>16600000</v>
      </c>
      <c r="O167" s="224">
        <v>16600000</v>
      </c>
      <c r="P167" s="224"/>
      <c r="Q167" s="99"/>
      <c r="R167" s="99"/>
      <c r="S167" s="99"/>
      <c r="T167" s="260">
        <f>218820*28%</f>
        <v>61269.600000000006</v>
      </c>
      <c r="U167" s="99"/>
      <c r="V167" s="99"/>
      <c r="W167" s="99"/>
      <c r="X167" s="99"/>
      <c r="Y167" s="99"/>
      <c r="Z167" s="106">
        <f t="shared" ref="Z167" si="79">SUM(Q167:Y167)</f>
        <v>61269.600000000006</v>
      </c>
      <c r="AA167" s="203"/>
      <c r="AB167" s="13"/>
      <c r="AC167" s="13"/>
    </row>
    <row r="168" spans="1:29" x14ac:dyDescent="0.25">
      <c r="A168" s="210" t="s">
        <v>134</v>
      </c>
      <c r="B168" s="46" t="s">
        <v>135</v>
      </c>
      <c r="C168" s="46">
        <v>1</v>
      </c>
      <c r="D168" s="228">
        <v>178589768</v>
      </c>
      <c r="E168" s="47"/>
      <c r="F168" s="47"/>
      <c r="G168" s="229"/>
      <c r="H168" s="47"/>
      <c r="I168" s="47">
        <f>+D168</f>
        <v>178589768</v>
      </c>
      <c r="J168" s="224"/>
      <c r="K168" s="224"/>
      <c r="L168" s="224"/>
      <c r="M168" s="224"/>
      <c r="N168" s="224">
        <f t="shared" ref="N168" si="80">SUM(E168:M168)</f>
        <v>178589768</v>
      </c>
      <c r="O168" s="224">
        <v>178589768</v>
      </c>
      <c r="P168" s="224">
        <f t="shared" ref="P168" si="81">N168-O168</f>
        <v>0</v>
      </c>
      <c r="Q168" s="99">
        <v>178589768</v>
      </c>
      <c r="R168" s="99"/>
      <c r="S168" s="99"/>
      <c r="T168" s="99"/>
      <c r="U168" s="99"/>
      <c r="V168" s="99"/>
      <c r="W168" s="99"/>
      <c r="X168" s="99"/>
      <c r="Y168" s="99"/>
      <c r="Z168" s="106">
        <f t="shared" si="78"/>
        <v>178589768</v>
      </c>
      <c r="AA168" s="204">
        <f t="shared" si="77"/>
        <v>0</v>
      </c>
    </row>
    <row r="169" spans="1:29" x14ac:dyDescent="0.25">
      <c r="A169" s="209" t="s">
        <v>88</v>
      </c>
      <c r="B169" s="46" t="s">
        <v>46</v>
      </c>
      <c r="C169" s="46">
        <v>1</v>
      </c>
      <c r="D169" s="228"/>
      <c r="E169" s="47"/>
      <c r="F169" s="47"/>
      <c r="G169" s="229"/>
      <c r="H169" s="48"/>
      <c r="I169" s="47">
        <v>512896545</v>
      </c>
      <c r="J169" s="224"/>
      <c r="K169" s="224"/>
      <c r="L169" s="224"/>
      <c r="M169" s="224"/>
      <c r="N169" s="224">
        <f t="shared" si="76"/>
        <v>512896545</v>
      </c>
      <c r="O169" s="182"/>
      <c r="P169" s="224">
        <f>N169-O169</f>
        <v>512896545</v>
      </c>
      <c r="Q169" s="99">
        <v>0</v>
      </c>
      <c r="R169" s="99">
        <v>0</v>
      </c>
      <c r="S169" s="99"/>
      <c r="T169" s="99"/>
      <c r="U169" s="99"/>
      <c r="V169" s="99">
        <v>0</v>
      </c>
      <c r="W169" s="99">
        <v>0</v>
      </c>
      <c r="X169" s="99">
        <v>0</v>
      </c>
      <c r="Y169" s="99"/>
      <c r="Z169" s="106">
        <f t="shared" si="78"/>
        <v>0</v>
      </c>
      <c r="AA169" s="212">
        <f t="shared" si="77"/>
        <v>0</v>
      </c>
    </row>
    <row r="170" spans="1:29" x14ac:dyDescent="0.25">
      <c r="A170" s="209" t="s">
        <v>131</v>
      </c>
      <c r="B170" s="183" t="s">
        <v>46</v>
      </c>
      <c r="C170" s="183">
        <v>1</v>
      </c>
      <c r="D170" s="235">
        <v>25000000</v>
      </c>
      <c r="E170" s="184">
        <v>0</v>
      </c>
      <c r="F170" s="184"/>
      <c r="G170" s="236"/>
      <c r="H170" s="184">
        <v>8000000</v>
      </c>
      <c r="I170" s="47"/>
      <c r="J170" s="224"/>
      <c r="K170" s="224"/>
      <c r="L170" s="224"/>
      <c r="M170" s="224"/>
      <c r="N170" s="224">
        <f>SUM(E170:M170)</f>
        <v>8000000</v>
      </c>
      <c r="O170" s="224">
        <v>0</v>
      </c>
      <c r="P170" s="224">
        <f>N170-O170</f>
        <v>8000000</v>
      </c>
      <c r="Q170" s="99"/>
      <c r="R170" s="99"/>
      <c r="S170" s="99"/>
      <c r="T170" s="99"/>
      <c r="U170" s="99"/>
      <c r="V170" s="99"/>
      <c r="W170" s="99"/>
      <c r="X170" s="99"/>
      <c r="Y170" s="99"/>
      <c r="Z170" s="106">
        <f t="shared" si="78"/>
        <v>0</v>
      </c>
      <c r="AA170" s="212">
        <f t="shared" si="77"/>
        <v>0</v>
      </c>
    </row>
    <row r="171" spans="1:29" x14ac:dyDescent="0.25">
      <c r="A171" s="209" t="s">
        <v>132</v>
      </c>
      <c r="B171" s="183" t="s">
        <v>46</v>
      </c>
      <c r="C171" s="183">
        <v>1</v>
      </c>
      <c r="D171" s="235">
        <v>42000000</v>
      </c>
      <c r="E171" s="184">
        <v>0</v>
      </c>
      <c r="F171" s="184"/>
      <c r="G171" s="236"/>
      <c r="H171" s="184">
        <v>21000000</v>
      </c>
      <c r="I171" s="47"/>
      <c r="J171" s="224"/>
      <c r="K171" s="224"/>
      <c r="L171" s="224"/>
      <c r="M171" s="224"/>
      <c r="N171" s="224">
        <f>SUM(E171:M171)</f>
        <v>21000000</v>
      </c>
      <c r="O171" s="224">
        <v>0</v>
      </c>
      <c r="P171" s="224">
        <f>N171-O171</f>
        <v>21000000</v>
      </c>
      <c r="Q171" s="99"/>
      <c r="R171" s="99"/>
      <c r="S171" s="99"/>
      <c r="T171" s="99"/>
      <c r="U171" s="99"/>
      <c r="V171" s="99"/>
      <c r="W171" s="99"/>
      <c r="X171" s="99"/>
      <c r="Y171" s="99"/>
      <c r="Z171" s="106">
        <f t="shared" si="78"/>
        <v>0</v>
      </c>
      <c r="AA171" s="212">
        <f t="shared" si="77"/>
        <v>0</v>
      </c>
    </row>
    <row r="172" spans="1:29" x14ac:dyDescent="0.25">
      <c r="A172" s="209" t="s">
        <v>89</v>
      </c>
      <c r="B172" s="46" t="s">
        <v>46</v>
      </c>
      <c r="C172" s="46">
        <v>1</v>
      </c>
      <c r="D172" s="228"/>
      <c r="E172" s="47"/>
      <c r="F172" s="47"/>
      <c r="G172" s="229"/>
      <c r="H172" s="230">
        <v>1500000</v>
      </c>
      <c r="I172" s="47"/>
      <c r="J172" s="224"/>
      <c r="K172" s="224"/>
      <c r="L172" s="224"/>
      <c r="M172" s="224"/>
      <c r="N172" s="224">
        <f t="shared" si="76"/>
        <v>1500000</v>
      </c>
      <c r="O172" s="224">
        <v>0</v>
      </c>
      <c r="P172" s="224">
        <f t="shared" ref="P172:P179" si="82">N172-O172</f>
        <v>1500000</v>
      </c>
      <c r="Q172" s="99"/>
      <c r="R172" s="99"/>
      <c r="S172" s="99"/>
      <c r="T172" s="99"/>
      <c r="U172" s="99"/>
      <c r="V172" s="99"/>
      <c r="W172" s="99"/>
      <c r="X172" s="99"/>
      <c r="Y172" s="99"/>
      <c r="Z172" s="106">
        <f t="shared" si="78"/>
        <v>0</v>
      </c>
      <c r="AA172" s="212">
        <f t="shared" si="77"/>
        <v>0</v>
      </c>
    </row>
    <row r="173" spans="1:29" x14ac:dyDescent="0.25">
      <c r="A173" s="205" t="s">
        <v>90</v>
      </c>
      <c r="B173" s="46" t="s">
        <v>46</v>
      </c>
      <c r="C173" s="46">
        <v>1</v>
      </c>
      <c r="D173" s="228"/>
      <c r="E173" s="47">
        <v>0</v>
      </c>
      <c r="F173" s="47"/>
      <c r="G173" s="229"/>
      <c r="H173" s="48">
        <v>2000000</v>
      </c>
      <c r="I173" s="47"/>
      <c r="J173" s="224"/>
      <c r="K173" s="224"/>
      <c r="L173" s="224"/>
      <c r="M173" s="224"/>
      <c r="N173" s="224">
        <f t="shared" si="76"/>
        <v>2000000</v>
      </c>
      <c r="O173" s="224">
        <v>0</v>
      </c>
      <c r="P173" s="224">
        <f t="shared" si="82"/>
        <v>2000000</v>
      </c>
      <c r="Q173" s="99"/>
      <c r="R173" s="99"/>
      <c r="S173" s="99"/>
      <c r="T173" s="99"/>
      <c r="U173" s="99"/>
      <c r="V173" s="99"/>
      <c r="W173" s="99"/>
      <c r="X173" s="99"/>
      <c r="Y173" s="99"/>
      <c r="Z173" s="106">
        <f t="shared" si="78"/>
        <v>0</v>
      </c>
      <c r="AA173" s="212">
        <f t="shared" si="77"/>
        <v>0</v>
      </c>
    </row>
    <row r="174" spans="1:29" x14ac:dyDescent="0.25">
      <c r="A174" s="34" t="s">
        <v>36</v>
      </c>
      <c r="B174" s="110"/>
      <c r="C174" s="110"/>
      <c r="D174" s="231"/>
      <c r="E174" s="108">
        <f>SUM(E164:E173)</f>
        <v>0</v>
      </c>
      <c r="F174" s="108">
        <f>SUM(F164:F173)</f>
        <v>0</v>
      </c>
      <c r="G174" s="108"/>
      <c r="H174" s="108">
        <f>+H164+H165+H166+H168+H169+H170+H171+H172+H173</f>
        <v>184337500</v>
      </c>
      <c r="I174" s="108">
        <f>SUM(I164:I173)</f>
        <v>691486313</v>
      </c>
      <c r="J174" s="108"/>
      <c r="K174" s="108">
        <f>SUM(K164:K173)</f>
        <v>0</v>
      </c>
      <c r="L174" s="108">
        <f>SUM(L164:L173)</f>
        <v>0</v>
      </c>
      <c r="M174" s="108" t="e">
        <f>+#REF!</f>
        <v>#REF!</v>
      </c>
      <c r="N174" s="108">
        <f>+N164+N165+N166+N168+N169+N170+N171+N172+N173</f>
        <v>875823813</v>
      </c>
      <c r="O174" s="108">
        <f>+O164+O165+O166+O168+O169+O170+O171+O172+O173</f>
        <v>195189768</v>
      </c>
      <c r="P174" s="108">
        <f>N174-O174</f>
        <v>680634045</v>
      </c>
      <c r="Q174" s="124">
        <f>SUM(Q164:Q173)</f>
        <v>178589768</v>
      </c>
      <c r="R174" s="124">
        <f>SUM(R164:R173)</f>
        <v>0</v>
      </c>
      <c r="S174" s="124">
        <f>SUM(S164:S173)</f>
        <v>0</v>
      </c>
      <c r="T174" s="124">
        <f t="shared" ref="T174:Y174" si="83">SUM(T164:T173)</f>
        <v>61269.600000000006</v>
      </c>
      <c r="U174" s="124">
        <f t="shared" si="83"/>
        <v>0</v>
      </c>
      <c r="V174" s="124">
        <f t="shared" si="83"/>
        <v>0</v>
      </c>
      <c r="W174" s="124">
        <f t="shared" si="83"/>
        <v>0</v>
      </c>
      <c r="X174" s="124">
        <f t="shared" si="83"/>
        <v>0</v>
      </c>
      <c r="Y174" s="124">
        <f t="shared" si="83"/>
        <v>0</v>
      </c>
      <c r="Z174" s="124">
        <f>+Z173+Z172+Z171+Z170+Z169+Z168+Z167</f>
        <v>178651037.59999999</v>
      </c>
      <c r="AA174" s="201">
        <f>SUM(AA164:AA173)</f>
        <v>16538730.4</v>
      </c>
    </row>
    <row r="175" spans="1:29" x14ac:dyDescent="0.25">
      <c r="A175" s="172" t="s">
        <v>43</v>
      </c>
      <c r="B175" s="173" t="s">
        <v>46</v>
      </c>
      <c r="C175" s="173">
        <v>12</v>
      </c>
      <c r="D175" s="226">
        <v>8750000</v>
      </c>
      <c r="E175" s="182">
        <v>0</v>
      </c>
      <c r="F175" s="182">
        <v>0</v>
      </c>
      <c r="G175" s="182">
        <v>0</v>
      </c>
      <c r="H175" s="182">
        <v>0</v>
      </c>
      <c r="I175" s="182">
        <v>105000000</v>
      </c>
      <c r="J175" s="182">
        <v>0</v>
      </c>
      <c r="K175" s="182">
        <v>0</v>
      </c>
      <c r="L175" s="182">
        <v>0</v>
      </c>
      <c r="M175" s="182">
        <v>0</v>
      </c>
      <c r="N175" s="182">
        <f>SUM(E175:M175)</f>
        <v>105000000</v>
      </c>
      <c r="O175" s="182">
        <v>105000000</v>
      </c>
      <c r="P175" s="182">
        <f t="shared" si="82"/>
        <v>0</v>
      </c>
      <c r="Q175" s="106">
        <v>0</v>
      </c>
      <c r="R175" s="106">
        <v>720000</v>
      </c>
      <c r="S175" s="106">
        <v>1080000</v>
      </c>
      <c r="T175" s="224">
        <f>270000+180000+360000+720000+360000+270000+360000</f>
        <v>2520000</v>
      </c>
      <c r="U175" s="106">
        <f t="shared" ref="U175:Y175" si="84">+U176</f>
        <v>0</v>
      </c>
      <c r="V175" s="106">
        <f t="shared" si="84"/>
        <v>0</v>
      </c>
      <c r="W175" s="106">
        <f t="shared" si="84"/>
        <v>0</v>
      </c>
      <c r="X175" s="106">
        <f t="shared" si="84"/>
        <v>0</v>
      </c>
      <c r="Y175" s="106">
        <f t="shared" si="84"/>
        <v>0</v>
      </c>
      <c r="Z175" s="106">
        <f>SUM(Q175:Y175)</f>
        <v>4320000</v>
      </c>
      <c r="AA175" s="212">
        <f>O175-Z175</f>
        <v>100680000</v>
      </c>
    </row>
    <row r="176" spans="1:29" x14ac:dyDescent="0.25">
      <c r="A176" s="172" t="s">
        <v>45</v>
      </c>
      <c r="B176" s="173" t="s">
        <v>154</v>
      </c>
      <c r="C176" s="173">
        <v>1</v>
      </c>
      <c r="D176" s="226">
        <v>150000000</v>
      </c>
      <c r="E176" s="182"/>
      <c r="F176" s="182" t="s">
        <v>29</v>
      </c>
      <c r="G176" s="182"/>
      <c r="H176" s="182">
        <v>2000000</v>
      </c>
      <c r="I176" s="182"/>
      <c r="J176" s="182"/>
      <c r="K176" s="182"/>
      <c r="L176" s="182"/>
      <c r="M176" s="182"/>
      <c r="N176" s="182">
        <f>SUM(E176:M176)</f>
        <v>2000000</v>
      </c>
      <c r="O176" s="182"/>
      <c r="P176" s="182">
        <f t="shared" si="82"/>
        <v>2000000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  <c r="V176" s="106">
        <v>0</v>
      </c>
      <c r="W176" s="106">
        <v>0</v>
      </c>
      <c r="X176" s="106">
        <v>0</v>
      </c>
      <c r="Y176" s="106">
        <v>0</v>
      </c>
      <c r="Z176" s="106">
        <f>SUM(Q176:Y176)</f>
        <v>0</v>
      </c>
      <c r="AA176" s="212">
        <f>O176-Z176</f>
        <v>0</v>
      </c>
    </row>
    <row r="177" spans="1:29" x14ac:dyDescent="0.25">
      <c r="A177" s="172" t="s">
        <v>44</v>
      </c>
      <c r="B177" s="173" t="s">
        <v>46</v>
      </c>
      <c r="C177" s="173">
        <v>1</v>
      </c>
      <c r="D177" s="226">
        <v>81837351</v>
      </c>
      <c r="E177" s="182">
        <v>0</v>
      </c>
      <c r="F177" s="182">
        <v>0</v>
      </c>
      <c r="G177" s="182">
        <v>0</v>
      </c>
      <c r="H177" s="182">
        <v>45313455</v>
      </c>
      <c r="I177" s="182"/>
      <c r="J177" s="182">
        <v>0</v>
      </c>
      <c r="K177" s="182"/>
      <c r="L177" s="182">
        <v>0</v>
      </c>
      <c r="M177" s="182">
        <v>0</v>
      </c>
      <c r="N177" s="182">
        <f>SUM(E177:M177)</f>
        <v>45313455</v>
      </c>
      <c r="O177" s="182">
        <v>45313455</v>
      </c>
      <c r="P177" s="182">
        <f t="shared" si="82"/>
        <v>0</v>
      </c>
      <c r="Q177" s="106">
        <v>0</v>
      </c>
      <c r="R177" s="106">
        <v>0</v>
      </c>
      <c r="S177" s="106"/>
      <c r="T177" s="106"/>
      <c r="U177" s="106">
        <v>0</v>
      </c>
      <c r="V177" s="106">
        <v>0</v>
      </c>
      <c r="W177" s="106">
        <v>0</v>
      </c>
      <c r="X177" s="106">
        <v>0</v>
      </c>
      <c r="Y177" s="106">
        <v>0</v>
      </c>
      <c r="Z177" s="106">
        <f>SUM(Q177:Y177)</f>
        <v>0</v>
      </c>
      <c r="AA177" s="212"/>
    </row>
    <row r="178" spans="1:29" x14ac:dyDescent="0.25">
      <c r="A178" s="171" t="s">
        <v>203</v>
      </c>
      <c r="B178" s="173"/>
      <c r="C178" s="173"/>
      <c r="D178" s="226"/>
      <c r="E178" s="182"/>
      <c r="F178" s="182"/>
      <c r="G178" s="182"/>
      <c r="H178" s="182">
        <v>45313455</v>
      </c>
      <c r="I178" s="182"/>
      <c r="J178" s="182"/>
      <c r="K178" s="182"/>
      <c r="L178" s="182"/>
      <c r="M178" s="182"/>
      <c r="N178" s="182">
        <v>45313455</v>
      </c>
      <c r="O178" s="182">
        <v>45313455</v>
      </c>
      <c r="P178" s="182"/>
      <c r="Q178" s="106"/>
      <c r="R178" s="106"/>
      <c r="S178" s="99">
        <f>+(12368738*6%)</f>
        <v>742124.28</v>
      </c>
      <c r="T178" s="260">
        <f>+(64193115*6%)</f>
        <v>3851586.9</v>
      </c>
      <c r="U178" s="106"/>
      <c r="V178" s="106"/>
      <c r="W178" s="106"/>
      <c r="X178" s="106"/>
      <c r="Y178" s="106"/>
      <c r="Z178" s="106">
        <f>SUM(Q178:Y178)</f>
        <v>4593711.18</v>
      </c>
      <c r="AA178" s="212">
        <f>O178-Z178</f>
        <v>40719743.82</v>
      </c>
    </row>
    <row r="179" spans="1:29" x14ac:dyDescent="0.25">
      <c r="A179" s="172" t="s">
        <v>138</v>
      </c>
      <c r="B179" s="173" t="s">
        <v>46</v>
      </c>
      <c r="C179" s="173">
        <v>12</v>
      </c>
      <c r="D179" s="226">
        <v>3750000</v>
      </c>
      <c r="E179" s="182"/>
      <c r="F179" s="182"/>
      <c r="G179" s="182"/>
      <c r="H179" s="182"/>
      <c r="I179" s="182">
        <v>45000000</v>
      </c>
      <c r="J179" s="182"/>
      <c r="K179" s="182"/>
      <c r="L179" s="182"/>
      <c r="M179" s="182"/>
      <c r="N179" s="182">
        <f>SUM(E179:M179)</f>
        <v>45000000</v>
      </c>
      <c r="O179" s="182"/>
      <c r="P179" s="182">
        <f t="shared" si="82"/>
        <v>45000000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f>SUM(Q179:Y179)</f>
        <v>0</v>
      </c>
      <c r="AA179" s="212">
        <f>O179-Z179</f>
        <v>0</v>
      </c>
    </row>
    <row r="180" spans="1:29" x14ac:dyDescent="0.25">
      <c r="A180" s="34" t="s">
        <v>160</v>
      </c>
      <c r="B180" s="110"/>
      <c r="C180" s="110"/>
      <c r="D180" s="231"/>
      <c r="E180" s="253">
        <f>SUM(E175:E179)</f>
        <v>0</v>
      </c>
      <c r="F180" s="253">
        <f t="shared" ref="F180:M180" si="85">SUM(F175:F179)</f>
        <v>0</v>
      </c>
      <c r="G180" s="253">
        <f t="shared" si="85"/>
        <v>0</v>
      </c>
      <c r="H180" s="253">
        <f>+H175+H176+H177+H179</f>
        <v>47313455</v>
      </c>
      <c r="I180" s="253">
        <f>+I175+I176+I177+I179</f>
        <v>150000000</v>
      </c>
      <c r="J180" s="253">
        <f t="shared" si="85"/>
        <v>0</v>
      </c>
      <c r="K180" s="253">
        <f t="shared" si="85"/>
        <v>0</v>
      </c>
      <c r="L180" s="253">
        <f t="shared" si="85"/>
        <v>0</v>
      </c>
      <c r="M180" s="253">
        <f t="shared" si="85"/>
        <v>0</v>
      </c>
      <c r="N180" s="108">
        <f>+N175+N176+N177+N179</f>
        <v>197313455</v>
      </c>
      <c r="O180" s="108">
        <f t="shared" ref="O180:P180" si="86">+O175+O176+O177+O179</f>
        <v>150313455</v>
      </c>
      <c r="P180" s="108">
        <f t="shared" si="86"/>
        <v>47000000</v>
      </c>
      <c r="Q180" s="108">
        <f t="shared" ref="Q180:Y180" si="87">SUM(Q175:Q179)</f>
        <v>0</v>
      </c>
      <c r="R180" s="108">
        <f>SUM(R175:R179)</f>
        <v>720000</v>
      </c>
      <c r="S180" s="108">
        <f t="shared" si="87"/>
        <v>1822124.28</v>
      </c>
      <c r="T180" s="108">
        <f>SUM(T175:T179)</f>
        <v>6371586.9000000004</v>
      </c>
      <c r="U180" s="253">
        <f t="shared" si="87"/>
        <v>0</v>
      </c>
      <c r="V180" s="253">
        <f t="shared" si="87"/>
        <v>0</v>
      </c>
      <c r="W180" s="253">
        <f t="shared" si="87"/>
        <v>0</v>
      </c>
      <c r="X180" s="253">
        <f t="shared" si="87"/>
        <v>0</v>
      </c>
      <c r="Y180" s="253">
        <f t="shared" si="87"/>
        <v>0</v>
      </c>
      <c r="Z180" s="124">
        <f>SUM(Z175:Z179)</f>
        <v>8913711.1799999997</v>
      </c>
      <c r="AA180" s="201">
        <f>SUM(AA175:AA179)</f>
        <v>141399743.81999999</v>
      </c>
    </row>
    <row r="181" spans="1:29" x14ac:dyDescent="0.25">
      <c r="A181" s="32" t="s">
        <v>111</v>
      </c>
      <c r="B181" s="101">
        <v>0</v>
      </c>
      <c r="C181" s="101">
        <v>0</v>
      </c>
      <c r="D181" s="219">
        <v>587500</v>
      </c>
      <c r="E181" s="102"/>
      <c r="F181" s="102">
        <v>0</v>
      </c>
      <c r="G181" s="102">
        <v>0</v>
      </c>
      <c r="H181" s="102">
        <v>857500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f>SUM(E181:M181)</f>
        <v>857500</v>
      </c>
      <c r="O181" s="102">
        <f>+Z181</f>
        <v>39270</v>
      </c>
      <c r="P181" s="102">
        <f>N181-O181</f>
        <v>818230</v>
      </c>
      <c r="Q181" s="109">
        <f>112000*6%</f>
        <v>6720</v>
      </c>
      <c r="R181" s="109">
        <f>(119000+119000)*6%</f>
        <v>14280</v>
      </c>
      <c r="S181" s="109">
        <f>(304500)*6%</f>
        <v>18270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/>
      <c r="Z181" s="109">
        <f>SUM(Q181:Y181)</f>
        <v>39270</v>
      </c>
      <c r="AA181" s="103">
        <f>O181-Z181</f>
        <v>0</v>
      </c>
      <c r="AC181" s="13"/>
    </row>
    <row r="182" spans="1:29" x14ac:dyDescent="0.25">
      <c r="A182" s="34" t="s">
        <v>25</v>
      </c>
      <c r="B182" s="110"/>
      <c r="C182" s="110"/>
      <c r="D182" s="231"/>
      <c r="E182" s="108"/>
      <c r="F182" s="108"/>
      <c r="G182" s="108"/>
      <c r="H182" s="108">
        <f>SUM(H181:H181)</f>
        <v>857500</v>
      </c>
      <c r="I182" s="108">
        <f>SUM(I181:I181)</f>
        <v>0</v>
      </c>
      <c r="J182" s="108"/>
      <c r="K182" s="108">
        <v>0</v>
      </c>
      <c r="L182" s="108">
        <v>0</v>
      </c>
      <c r="M182" s="108" t="e">
        <f>+M174+M176+M180+#REF!+#REF!</f>
        <v>#REF!</v>
      </c>
      <c r="N182" s="108">
        <f>SUM(N181:N181)</f>
        <v>857500</v>
      </c>
      <c r="O182" s="108">
        <f>+O181</f>
        <v>39270</v>
      </c>
      <c r="P182" s="108">
        <f>SUM(P181:P181)</f>
        <v>818230</v>
      </c>
      <c r="Q182" s="124">
        <f>+Q181</f>
        <v>6720</v>
      </c>
      <c r="R182" s="124">
        <f>+R181</f>
        <v>14280</v>
      </c>
      <c r="S182" s="124">
        <f>+S181</f>
        <v>18270</v>
      </c>
      <c r="T182" s="124">
        <f>SUM(T181:T181)</f>
        <v>0</v>
      </c>
      <c r="U182" s="124">
        <f>SUM(U181:U181)</f>
        <v>0</v>
      </c>
      <c r="V182" s="124">
        <f>SUM(V181:V181)</f>
        <v>0</v>
      </c>
      <c r="W182" s="124">
        <f>SUM(W181:W181)</f>
        <v>0</v>
      </c>
      <c r="X182" s="124">
        <f>SUM(X181:X181)</f>
        <v>0</v>
      </c>
      <c r="Y182" s="111"/>
      <c r="Z182" s="124">
        <f>SUM(Z181:Z181)</f>
        <v>39270</v>
      </c>
      <c r="AA182" s="201">
        <f>+AA181</f>
        <v>0</v>
      </c>
    </row>
    <row r="183" spans="1:29" x14ac:dyDescent="0.25">
      <c r="A183" s="34" t="s">
        <v>101</v>
      </c>
      <c r="B183" s="110"/>
      <c r="C183" s="110"/>
      <c r="D183" s="231"/>
      <c r="E183" s="108"/>
      <c r="F183" s="108"/>
      <c r="G183" s="108"/>
      <c r="H183" s="108">
        <f>H162+H132+H174+H180+H182</f>
        <v>549603455</v>
      </c>
      <c r="I183" s="108">
        <f>I162+I132+I174+I180+I182</f>
        <v>841486313</v>
      </c>
      <c r="J183" s="108"/>
      <c r="K183" s="108">
        <v>0</v>
      </c>
      <c r="L183" s="108">
        <v>0</v>
      </c>
      <c r="M183" s="108"/>
      <c r="N183" s="108">
        <f>N162+N132+N174+N180+N182</f>
        <v>1391089768</v>
      </c>
      <c r="O183" s="108">
        <f>O162+O132+O174+O180+O182</f>
        <v>457603693</v>
      </c>
      <c r="P183" s="108">
        <f t="shared" ref="P183" si="88">P162+P132+P174+P180+P182</f>
        <v>933486075</v>
      </c>
      <c r="Q183" s="108">
        <f>Q162+Q132+Q174+Q180+Q182</f>
        <v>181988654.75</v>
      </c>
      <c r="R183" s="108">
        <f>R162+R132+R174+R180+R182</f>
        <v>6146480</v>
      </c>
      <c r="S183" s="108">
        <f>S162+S132+S174+S180+S182</f>
        <v>8386594.2800000003</v>
      </c>
      <c r="T183" s="108">
        <f>T162+T132+T174+T180+T182</f>
        <v>21824806.5</v>
      </c>
      <c r="U183" s="108">
        <f t="shared" ref="U183:Y183" si="89">U162+U132+U174+U180+U182</f>
        <v>0</v>
      </c>
      <c r="V183" s="108">
        <f t="shared" si="89"/>
        <v>0</v>
      </c>
      <c r="W183" s="108">
        <f t="shared" si="89"/>
        <v>0</v>
      </c>
      <c r="X183" s="108">
        <f t="shared" si="89"/>
        <v>0</v>
      </c>
      <c r="Y183" s="108">
        <f t="shared" si="89"/>
        <v>0</v>
      </c>
      <c r="Z183" s="108">
        <f>Z162+Z132+Z174+Z182+Z180</f>
        <v>218346535.53</v>
      </c>
      <c r="AA183" s="108">
        <f>AA162+AA132+AA174+AA182+AA180</f>
        <v>239257157.47</v>
      </c>
    </row>
    <row r="184" spans="1:29" ht="15" customHeight="1" x14ac:dyDescent="0.25">
      <c r="A184" s="232" t="s">
        <v>161</v>
      </c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4"/>
      <c r="AB184" s="13"/>
    </row>
    <row r="185" spans="1:29" x14ac:dyDescent="0.25">
      <c r="A185" s="190" t="s">
        <v>155</v>
      </c>
      <c r="B185" s="191">
        <v>3</v>
      </c>
      <c r="C185" s="191">
        <v>9</v>
      </c>
      <c r="D185" s="246">
        <v>3030000</v>
      </c>
      <c r="E185" s="192"/>
      <c r="F185" s="192"/>
      <c r="G185" s="192"/>
      <c r="H185" s="192"/>
      <c r="I185" s="192"/>
      <c r="J185" s="192"/>
      <c r="K185" s="247">
        <v>81810000</v>
      </c>
      <c r="L185" s="192"/>
      <c r="M185" s="192"/>
      <c r="N185" s="247">
        <f>SUM(E185:M185)</f>
        <v>81810000</v>
      </c>
      <c r="O185" s="247">
        <f>SUM(O186:O188)</f>
        <v>27270000</v>
      </c>
      <c r="P185" s="247">
        <f>N185-O185</f>
        <v>54540000</v>
      </c>
      <c r="Q185" s="246">
        <f>SUM(Q186:Q188)</f>
        <v>0</v>
      </c>
      <c r="R185" s="246"/>
      <c r="S185" s="246"/>
      <c r="T185" s="256">
        <f>+T186+T187+T188</f>
        <v>1616000</v>
      </c>
      <c r="U185" s="248"/>
      <c r="V185" s="248"/>
      <c r="W185" s="248"/>
      <c r="X185" s="248"/>
      <c r="Y185" s="248"/>
      <c r="Z185" s="248">
        <f>SUM(Q185:Y185)</f>
        <v>1616000</v>
      </c>
      <c r="AA185" s="255">
        <f>SUM(AA186:AA188)</f>
        <v>25654000</v>
      </c>
    </row>
    <row r="186" spans="1:29" x14ac:dyDescent="0.25">
      <c r="A186" s="237" t="s">
        <v>190</v>
      </c>
      <c r="B186" s="98">
        <v>1</v>
      </c>
      <c r="C186" s="98">
        <v>9</v>
      </c>
      <c r="D186" s="221">
        <v>3030000</v>
      </c>
      <c r="E186" s="224"/>
      <c r="F186" s="224"/>
      <c r="G186" s="224"/>
      <c r="H186" s="224"/>
      <c r="I186" s="224"/>
      <c r="J186" s="224"/>
      <c r="K186" s="182">
        <f>+B186*C186*D186</f>
        <v>27270000</v>
      </c>
      <c r="L186" s="224"/>
      <c r="M186" s="224"/>
      <c r="N186" s="187"/>
      <c r="O186" s="182">
        <f>+B186*C186*D186</f>
        <v>27270000</v>
      </c>
      <c r="P186" s="187"/>
      <c r="Q186" s="226"/>
      <c r="R186" s="226"/>
      <c r="S186" s="226"/>
      <c r="T186" s="259">
        <v>1616000</v>
      </c>
      <c r="U186" s="106"/>
      <c r="V186" s="106"/>
      <c r="W186" s="106"/>
      <c r="X186" s="106"/>
      <c r="Y186" s="106"/>
      <c r="Z186" s="106">
        <f>SUM(Q186:Y186)</f>
        <v>1616000</v>
      </c>
      <c r="AA186" s="212">
        <f t="shared" ref="AA186:AA190" si="90">O186-Z186</f>
        <v>25654000</v>
      </c>
    </row>
    <row r="187" spans="1:29" x14ac:dyDescent="0.25">
      <c r="A187" s="237"/>
      <c r="B187" s="98"/>
      <c r="C187" s="98"/>
      <c r="D187" s="221"/>
      <c r="E187" s="224"/>
      <c r="F187" s="224"/>
      <c r="G187" s="224"/>
      <c r="H187" s="224"/>
      <c r="I187" s="224"/>
      <c r="J187" s="224"/>
      <c r="K187" s="182"/>
      <c r="L187" s="224"/>
      <c r="M187" s="224"/>
      <c r="N187" s="187"/>
      <c r="O187" s="182"/>
      <c r="P187" s="187"/>
      <c r="Q187" s="226"/>
      <c r="R187" s="226"/>
      <c r="S187" s="226"/>
      <c r="T187" s="226"/>
      <c r="U187" s="106"/>
      <c r="V187" s="106"/>
      <c r="W187" s="106"/>
      <c r="X187" s="106"/>
      <c r="Y187" s="106"/>
      <c r="Z187" s="106"/>
      <c r="AA187" s="212"/>
    </row>
    <row r="188" spans="1:29" x14ac:dyDescent="0.25">
      <c r="A188" s="172"/>
      <c r="B188" s="98"/>
      <c r="C188" s="98"/>
      <c r="D188" s="221"/>
      <c r="E188" s="224"/>
      <c r="F188" s="224"/>
      <c r="G188" s="224"/>
      <c r="H188" s="224"/>
      <c r="I188" s="224"/>
      <c r="J188" s="224"/>
      <c r="K188" s="182">
        <f t="shared" ref="K188" si="91">+B188*C188*D188</f>
        <v>0</v>
      </c>
      <c r="L188" s="224"/>
      <c r="M188" s="224"/>
      <c r="N188" s="187"/>
      <c r="O188" s="187">
        <f t="shared" ref="O188" si="92">+B188*C188*D188</f>
        <v>0</v>
      </c>
      <c r="P188" s="187"/>
      <c r="Q188" s="226"/>
      <c r="R188" s="226"/>
      <c r="S188" s="226"/>
      <c r="T188" s="226"/>
      <c r="U188" s="106"/>
      <c r="V188" s="106"/>
      <c r="W188" s="106"/>
      <c r="X188" s="106"/>
      <c r="Y188" s="106"/>
      <c r="Z188" s="106">
        <f t="shared" ref="Z188" si="93">SUM(Q188:Y188)</f>
        <v>0</v>
      </c>
      <c r="AA188" s="212">
        <f t="shared" si="90"/>
        <v>0</v>
      </c>
    </row>
    <row r="189" spans="1:29" x14ac:dyDescent="0.25">
      <c r="A189" s="172"/>
      <c r="B189" s="98"/>
      <c r="C189" s="98"/>
      <c r="D189" s="221"/>
      <c r="E189" s="224"/>
      <c r="F189" s="224"/>
      <c r="G189" s="224"/>
      <c r="H189" s="224"/>
      <c r="I189" s="224"/>
      <c r="J189" s="224"/>
      <c r="K189" s="182"/>
      <c r="L189" s="224"/>
      <c r="M189" s="224"/>
      <c r="N189" s="187"/>
      <c r="O189" s="187"/>
      <c r="P189" s="187"/>
      <c r="Q189" s="226"/>
      <c r="R189" s="226"/>
      <c r="S189" s="226"/>
      <c r="T189" s="226"/>
      <c r="U189" s="106"/>
      <c r="V189" s="106"/>
      <c r="W189" s="106"/>
      <c r="X189" s="106"/>
      <c r="Y189" s="106"/>
      <c r="Z189" s="106"/>
      <c r="AA189" s="212"/>
    </row>
    <row r="190" spans="1:29" x14ac:dyDescent="0.25">
      <c r="A190" s="32" t="s">
        <v>139</v>
      </c>
      <c r="B190" s="101" t="s">
        <v>46</v>
      </c>
      <c r="C190" s="101">
        <v>10</v>
      </c>
      <c r="D190" s="219">
        <v>96749879.519999996</v>
      </c>
      <c r="E190" s="102"/>
      <c r="F190" s="102"/>
      <c r="G190" s="102"/>
      <c r="H190" s="102"/>
      <c r="I190" s="102"/>
      <c r="J190" s="102"/>
      <c r="K190" s="102"/>
      <c r="L190" s="102">
        <v>2206826526</v>
      </c>
      <c r="M190" s="224"/>
      <c r="N190" s="94">
        <f>SUM(E190:M190)</f>
        <v>2206826526</v>
      </c>
      <c r="O190" s="94">
        <f>220682653+220682652+220682653+220682653</f>
        <v>882730611</v>
      </c>
      <c r="P190" s="94">
        <f>N190-O190</f>
        <v>1324095915</v>
      </c>
      <c r="Q190" s="220">
        <f>+L190/10</f>
        <v>220682652.59999999</v>
      </c>
      <c r="R190" s="220">
        <f>+L190/10</f>
        <v>220682652.59999999</v>
      </c>
      <c r="S190" s="220">
        <v>220682653</v>
      </c>
      <c r="T190" s="220">
        <v>220682653</v>
      </c>
      <c r="U190" s="109"/>
      <c r="V190" s="109"/>
      <c r="W190" s="109"/>
      <c r="X190" s="109"/>
      <c r="Y190" s="109"/>
      <c r="Z190" s="105">
        <f>SUM(Q190:Y190)</f>
        <v>882730611.20000005</v>
      </c>
      <c r="AA190" s="212">
        <f t="shared" si="90"/>
        <v>-0.20000004768371582</v>
      </c>
    </row>
    <row r="191" spans="1:29" x14ac:dyDescent="0.25">
      <c r="A191" s="172"/>
      <c r="B191" s="104"/>
      <c r="C191" s="104"/>
      <c r="D191" s="222"/>
      <c r="E191" s="224"/>
      <c r="F191" s="224"/>
      <c r="G191" s="224"/>
      <c r="H191" s="224"/>
      <c r="I191" s="224"/>
      <c r="J191" s="224"/>
      <c r="K191" s="224"/>
      <c r="L191" s="224"/>
      <c r="M191" s="224"/>
      <c r="N191" s="182"/>
      <c r="O191" s="187"/>
      <c r="P191" s="187"/>
      <c r="Q191" s="226"/>
      <c r="R191" s="226"/>
      <c r="S191" s="226"/>
      <c r="T191" s="226"/>
      <c r="U191" s="106"/>
      <c r="V191" s="106"/>
      <c r="W191" s="106"/>
      <c r="X191" s="106"/>
      <c r="Y191" s="106"/>
      <c r="Z191" s="125"/>
      <c r="AA191" s="174"/>
    </row>
    <row r="192" spans="1:29" x14ac:dyDescent="0.25">
      <c r="A192" s="32" t="s">
        <v>47</v>
      </c>
      <c r="B192" s="101" t="s">
        <v>50</v>
      </c>
      <c r="C192" s="101">
        <v>12</v>
      </c>
      <c r="D192" s="219">
        <v>29676936</v>
      </c>
      <c r="E192" s="102"/>
      <c r="F192" s="102"/>
      <c r="G192" s="102"/>
      <c r="H192" s="102"/>
      <c r="I192" s="102"/>
      <c r="J192" s="102"/>
      <c r="K192" s="102"/>
      <c r="L192" s="102">
        <v>356123232</v>
      </c>
      <c r="M192" s="102"/>
      <c r="N192" s="94">
        <f>SUM(E192:M192)</f>
        <v>356123232</v>
      </c>
      <c r="O192" s="94">
        <f>29676936+29676936+29676936+29676936</f>
        <v>118707744</v>
      </c>
      <c r="P192" s="94">
        <f>N192-O192</f>
        <v>237415488</v>
      </c>
      <c r="Q192" s="220">
        <v>29676936</v>
      </c>
      <c r="R192" s="220">
        <v>29676936</v>
      </c>
      <c r="S192" s="220">
        <v>29676936</v>
      </c>
      <c r="T192" s="220">
        <v>29676936</v>
      </c>
      <c r="U192" s="109"/>
      <c r="V192" s="109"/>
      <c r="W192" s="109"/>
      <c r="X192" s="109"/>
      <c r="Y192" s="109"/>
      <c r="Z192" s="105">
        <f>SUM(Q192:Y192)</f>
        <v>118707744</v>
      </c>
      <c r="AA192" s="103">
        <f>O192-Z192</f>
        <v>0</v>
      </c>
      <c r="AC192" s="13"/>
    </row>
    <row r="193" spans="1:30" x14ac:dyDescent="0.25">
      <c r="A193" s="172"/>
      <c r="B193" s="104"/>
      <c r="C193" s="104"/>
      <c r="D193" s="222"/>
      <c r="E193" s="224"/>
      <c r="F193" s="224"/>
      <c r="G193" s="224"/>
      <c r="H193" s="224"/>
      <c r="I193" s="224"/>
      <c r="J193" s="224"/>
      <c r="K193" s="224"/>
      <c r="L193" s="224"/>
      <c r="M193" s="224"/>
      <c r="N193" s="187"/>
      <c r="O193" s="187"/>
      <c r="P193" s="187"/>
      <c r="Q193" s="227"/>
      <c r="R193" s="227"/>
      <c r="S193" s="227"/>
      <c r="T193" s="226"/>
      <c r="U193" s="106"/>
      <c r="V193" s="106"/>
      <c r="W193" s="106"/>
      <c r="X193" s="106"/>
      <c r="Y193" s="106"/>
      <c r="Z193" s="125"/>
      <c r="AA193" s="174"/>
    </row>
    <row r="194" spans="1:30" x14ac:dyDescent="0.25">
      <c r="A194" s="32" t="s">
        <v>48</v>
      </c>
      <c r="B194" s="101" t="s">
        <v>46</v>
      </c>
      <c r="C194" s="101">
        <v>1</v>
      </c>
      <c r="D194" s="219">
        <v>0</v>
      </c>
      <c r="E194" s="102">
        <v>0</v>
      </c>
      <c r="F194" s="102"/>
      <c r="G194" s="102"/>
      <c r="H194" s="102"/>
      <c r="I194" s="102"/>
      <c r="J194" s="102"/>
      <c r="K194" s="102"/>
      <c r="L194" s="102">
        <v>150231839</v>
      </c>
      <c r="M194" s="102"/>
      <c r="N194" s="94">
        <f>SUM(E194:M194)</f>
        <v>150231839</v>
      </c>
      <c r="O194" s="94">
        <f>12519320+12519320+12519320+12519320</f>
        <v>50077280</v>
      </c>
      <c r="P194" s="94">
        <f>N194-O194</f>
        <v>100154559</v>
      </c>
      <c r="Q194" s="220">
        <v>12519319.916666666</v>
      </c>
      <c r="R194" s="220">
        <v>12519319.916666666</v>
      </c>
      <c r="S194" s="220">
        <v>12519320</v>
      </c>
      <c r="T194" s="220">
        <v>12519320</v>
      </c>
      <c r="U194" s="109">
        <f t="shared" ref="U194:Y194" si="94">+U198</f>
        <v>0</v>
      </c>
      <c r="V194" s="109">
        <f t="shared" si="94"/>
        <v>0</v>
      </c>
      <c r="W194" s="109">
        <f t="shared" si="94"/>
        <v>0</v>
      </c>
      <c r="X194" s="109">
        <f t="shared" si="94"/>
        <v>0</v>
      </c>
      <c r="Y194" s="109">
        <f t="shared" si="94"/>
        <v>0</v>
      </c>
      <c r="Z194" s="105">
        <f>SUM(Q194:Y194)</f>
        <v>50077279.833333328</v>
      </c>
      <c r="AA194" s="103">
        <f>O194-Z194</f>
        <v>0.1666666716337204</v>
      </c>
    </row>
    <row r="195" spans="1:30" s="2" customFormat="1" x14ac:dyDescent="0.25">
      <c r="A195" s="172"/>
      <c r="B195" s="173"/>
      <c r="C195" s="173"/>
      <c r="D195" s="226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7"/>
      <c r="P195" s="187"/>
      <c r="Q195" s="226"/>
      <c r="R195" s="226"/>
      <c r="S195" s="226"/>
      <c r="T195" s="226"/>
      <c r="U195" s="106"/>
      <c r="V195" s="106"/>
      <c r="W195" s="106"/>
      <c r="X195" s="106"/>
      <c r="Y195" s="106"/>
      <c r="Z195" s="125"/>
      <c r="AA195" s="174"/>
    </row>
    <row r="196" spans="1:30" x14ac:dyDescent="0.25">
      <c r="A196" s="32" t="s">
        <v>80</v>
      </c>
      <c r="B196" s="101"/>
      <c r="C196" s="101"/>
      <c r="D196" s="219"/>
      <c r="E196" s="102"/>
      <c r="F196" s="102"/>
      <c r="G196" s="102"/>
      <c r="H196" s="102"/>
      <c r="I196" s="102"/>
      <c r="J196" s="102"/>
      <c r="K196" s="102"/>
      <c r="L196" s="102">
        <v>2900000</v>
      </c>
      <c r="M196" s="102"/>
      <c r="N196" s="94">
        <f>+L196</f>
        <v>2900000</v>
      </c>
      <c r="O196" s="94">
        <v>0</v>
      </c>
      <c r="P196" s="94">
        <f>N196-O196</f>
        <v>2900000</v>
      </c>
      <c r="Q196" s="219"/>
      <c r="R196" s="219"/>
      <c r="S196" s="219"/>
      <c r="T196" s="219"/>
      <c r="U196" s="109"/>
      <c r="V196" s="109"/>
      <c r="W196" s="109"/>
      <c r="X196" s="109"/>
      <c r="Y196" s="109"/>
      <c r="Z196" s="109">
        <f t="shared" ref="Z196" si="95">SUM(Q196:Y196)</f>
        <v>0</v>
      </c>
      <c r="AA196" s="103">
        <f>O196-Z196</f>
        <v>0</v>
      </c>
    </row>
    <row r="197" spans="1:30" s="2" customFormat="1" x14ac:dyDescent="0.25">
      <c r="A197" s="172"/>
      <c r="B197" s="173"/>
      <c r="C197" s="173"/>
      <c r="D197" s="226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7"/>
      <c r="P197" s="187"/>
      <c r="Q197" s="226"/>
      <c r="R197" s="226"/>
      <c r="S197" s="226"/>
      <c r="T197" s="226"/>
      <c r="U197" s="106"/>
      <c r="V197" s="106"/>
      <c r="W197" s="106"/>
      <c r="X197" s="106"/>
      <c r="Y197" s="106"/>
      <c r="Z197" s="125"/>
      <c r="AA197" s="174"/>
    </row>
    <row r="198" spans="1:30" s="2" customFormat="1" x14ac:dyDescent="0.25">
      <c r="A198" s="32" t="s">
        <v>156</v>
      </c>
      <c r="B198" s="101"/>
      <c r="C198" s="101"/>
      <c r="D198" s="219"/>
      <c r="E198" s="102"/>
      <c r="F198" s="102"/>
      <c r="G198" s="102"/>
      <c r="H198" s="102"/>
      <c r="I198" s="102"/>
      <c r="J198" s="102"/>
      <c r="K198" s="102"/>
      <c r="L198" s="102">
        <v>34000000</v>
      </c>
      <c r="M198" s="102"/>
      <c r="N198" s="94">
        <f>+L198</f>
        <v>34000000</v>
      </c>
      <c r="O198" s="102">
        <v>0</v>
      </c>
      <c r="P198" s="94">
        <f>N198-O198</f>
        <v>34000000</v>
      </c>
      <c r="Q198" s="219">
        <v>0</v>
      </c>
      <c r="R198" s="219">
        <v>0</v>
      </c>
      <c r="S198" s="219"/>
      <c r="T198" s="219"/>
      <c r="U198" s="219"/>
      <c r="V198" s="219"/>
      <c r="W198" s="219"/>
      <c r="X198" s="219"/>
      <c r="Y198" s="219"/>
      <c r="Z198" s="109">
        <f t="shared" ref="Z198" si="96">SUM(Q198:Y198)</f>
        <v>0</v>
      </c>
      <c r="AA198" s="103">
        <f>O198-Z198</f>
        <v>0</v>
      </c>
    </row>
    <row r="199" spans="1:30" s="2" customFormat="1" x14ac:dyDescent="0.25">
      <c r="A199" s="32" t="s">
        <v>140</v>
      </c>
      <c r="B199" s="101" t="s">
        <v>46</v>
      </c>
      <c r="C199" s="101">
        <v>1</v>
      </c>
      <c r="D199" s="102">
        <v>5600000</v>
      </c>
      <c r="E199" s="102"/>
      <c r="F199" s="102"/>
      <c r="G199" s="102"/>
      <c r="H199" s="102"/>
      <c r="I199" s="102"/>
      <c r="J199" s="102"/>
      <c r="K199" s="94">
        <v>5600000</v>
      </c>
      <c r="L199" s="102"/>
      <c r="M199" s="102"/>
      <c r="N199" s="94">
        <f>SUM(E199:M199)</f>
        <v>5600000</v>
      </c>
      <c r="O199" s="94">
        <f>374716+329676+326060+330070</f>
        <v>1360522</v>
      </c>
      <c r="P199" s="94">
        <f>N199-O199</f>
        <v>4239478</v>
      </c>
      <c r="Q199" s="220">
        <f>+Q200</f>
        <v>374716</v>
      </c>
      <c r="R199" s="220">
        <f>R200</f>
        <v>329676</v>
      </c>
      <c r="S199" s="220">
        <f>S200</f>
        <v>326060</v>
      </c>
      <c r="T199" s="220">
        <f>T200</f>
        <v>330070</v>
      </c>
      <c r="U199" s="109">
        <f>+U200</f>
        <v>0</v>
      </c>
      <c r="V199" s="109">
        <f>+V200</f>
        <v>0</v>
      </c>
      <c r="W199" s="109">
        <f>+W200</f>
        <v>0</v>
      </c>
      <c r="X199" s="109">
        <f>+X200</f>
        <v>0</v>
      </c>
      <c r="Y199" s="109">
        <f t="shared" ref="Y199" si="97">+Y200</f>
        <v>0</v>
      </c>
      <c r="Z199" s="105">
        <f>SUM(Q199:Y199)</f>
        <v>1360522</v>
      </c>
      <c r="AA199" s="103">
        <f>O199-Z199</f>
        <v>0</v>
      </c>
    </row>
    <row r="200" spans="1:30" s="2" customFormat="1" x14ac:dyDescent="0.25">
      <c r="A200" s="172"/>
      <c r="B200" s="173"/>
      <c r="C200" s="173"/>
      <c r="D200" s="226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226">
        <v>374716</v>
      </c>
      <c r="R200" s="226">
        <v>329676</v>
      </c>
      <c r="S200" s="226">
        <v>326060</v>
      </c>
      <c r="T200" s="259">
        <v>330070</v>
      </c>
      <c r="U200" s="226"/>
      <c r="V200" s="226"/>
      <c r="W200" s="226"/>
      <c r="X200" s="226"/>
      <c r="Y200" s="226"/>
      <c r="Z200" s="106"/>
      <c r="AA200" s="174"/>
    </row>
    <row r="201" spans="1:30" x14ac:dyDescent="0.25">
      <c r="A201" s="32" t="s">
        <v>49</v>
      </c>
      <c r="B201" s="101"/>
      <c r="C201" s="101"/>
      <c r="D201" s="219"/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0</v>
      </c>
      <c r="N201" s="102">
        <f>SUM(E201:M201)</f>
        <v>0</v>
      </c>
      <c r="O201" s="102">
        <v>0</v>
      </c>
      <c r="P201" s="102">
        <f>N201-O201</f>
        <v>0</v>
      </c>
      <c r="Q201" s="109">
        <f>+Q202</f>
        <v>0</v>
      </c>
      <c r="R201" s="109">
        <f>+R202</f>
        <v>0</v>
      </c>
      <c r="S201" s="109">
        <f>+S202</f>
        <v>0</v>
      </c>
      <c r="T201" s="109">
        <f t="shared" ref="T201:Y201" si="98">+T202</f>
        <v>0</v>
      </c>
      <c r="U201" s="109">
        <f t="shared" si="98"/>
        <v>0</v>
      </c>
      <c r="V201" s="109">
        <f t="shared" si="98"/>
        <v>0</v>
      </c>
      <c r="W201" s="109">
        <f t="shared" si="98"/>
        <v>0</v>
      </c>
      <c r="X201" s="109">
        <f t="shared" si="98"/>
        <v>0</v>
      </c>
      <c r="Y201" s="109">
        <f t="shared" si="98"/>
        <v>0</v>
      </c>
      <c r="Z201" s="109">
        <f t="shared" ref="Z201" si="99">SUM(Q201:Y201)</f>
        <v>0</v>
      </c>
      <c r="AA201" s="103">
        <f>O201-Z201</f>
        <v>0</v>
      </c>
      <c r="AD201" s="1"/>
    </row>
    <row r="202" spans="1:30" x14ac:dyDescent="0.25">
      <c r="A202" s="33"/>
      <c r="B202" s="104"/>
      <c r="C202" s="104"/>
      <c r="D202" s="222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99"/>
      <c r="R202" s="99"/>
      <c r="S202" s="99"/>
      <c r="T202" s="99"/>
      <c r="U202" s="99"/>
      <c r="V202" s="99"/>
      <c r="W202" s="99"/>
      <c r="X202" s="99"/>
      <c r="Y202" s="99"/>
      <c r="Z202" s="106"/>
      <c r="AA202" s="100"/>
    </row>
    <row r="203" spans="1:30" x14ac:dyDescent="0.25">
      <c r="A203" s="34" t="s">
        <v>25</v>
      </c>
      <c r="B203" s="110"/>
      <c r="C203" s="110"/>
      <c r="D203" s="231"/>
      <c r="E203" s="108"/>
      <c r="F203" s="108"/>
      <c r="G203" s="108" t="e">
        <f>+#REF!+#REF!+#REF!+#REF!+G201</f>
        <v>#REF!</v>
      </c>
      <c r="H203" s="108"/>
      <c r="I203" s="108"/>
      <c r="J203" s="108" t="e">
        <f>+#REF!+#REF!+#REF!+#REF!+J201</f>
        <v>#REF!</v>
      </c>
      <c r="K203" s="108">
        <f>+K185+K199</f>
        <v>87410000</v>
      </c>
      <c r="L203" s="108">
        <f>SUM(L190:L202)</f>
        <v>2750081597</v>
      </c>
      <c r="M203" s="108" t="e">
        <f>+#REF!+#REF!+#REF!+#REF!+M201</f>
        <v>#REF!</v>
      </c>
      <c r="N203" s="108">
        <f>SUM(N185:N202)</f>
        <v>2837491597</v>
      </c>
      <c r="O203" s="108">
        <f>+O185+O199+O194+O192+O190+O198+O196</f>
        <v>1080146157</v>
      </c>
      <c r="P203" s="108">
        <f>SUM(P185:P201)</f>
        <v>1757345440</v>
      </c>
      <c r="Q203" s="124">
        <f>+Q199+Q194+Q192+Q190+Q185</f>
        <v>263253624.51666665</v>
      </c>
      <c r="R203" s="124">
        <f>+R199+R194+R192+R190+R185</f>
        <v>263208584.51666665</v>
      </c>
      <c r="S203" s="124">
        <f>+S199+S194+S192+S190+S185</f>
        <v>263204969</v>
      </c>
      <c r="T203" s="124">
        <f t="shared" ref="T203:Y203" si="100">+T199+T194+T192+T190+T185</f>
        <v>264824979</v>
      </c>
      <c r="U203" s="124">
        <f t="shared" si="100"/>
        <v>0</v>
      </c>
      <c r="V203" s="124">
        <f t="shared" si="100"/>
        <v>0</v>
      </c>
      <c r="W203" s="124">
        <f t="shared" si="100"/>
        <v>0</v>
      </c>
      <c r="X203" s="124">
        <f t="shared" si="100"/>
        <v>0</v>
      </c>
      <c r="Y203" s="124">
        <f t="shared" si="100"/>
        <v>0</v>
      </c>
      <c r="Z203" s="124">
        <f>Z190+Z192+Z194+Z199</f>
        <v>1052876157.0333334</v>
      </c>
      <c r="AA203" s="126">
        <f>+AA204</f>
        <v>25653999.966666579</v>
      </c>
    </row>
    <row r="204" spans="1:30" x14ac:dyDescent="0.25">
      <c r="A204" s="34" t="s">
        <v>103</v>
      </c>
      <c r="B204" s="110"/>
      <c r="C204" s="110"/>
      <c r="D204" s="231"/>
      <c r="E204" s="108"/>
      <c r="F204" s="108"/>
      <c r="G204" s="108"/>
      <c r="H204" s="108"/>
      <c r="I204" s="108"/>
      <c r="J204" s="108"/>
      <c r="K204" s="108">
        <f>+K203</f>
        <v>87410000</v>
      </c>
      <c r="L204" s="108">
        <f>L203+L125+L118</f>
        <v>2750081597</v>
      </c>
      <c r="M204" s="108"/>
      <c r="N204" s="108">
        <f>+N203</f>
        <v>2837491597</v>
      </c>
      <c r="O204" s="108">
        <f>+O203</f>
        <v>1080146157</v>
      </c>
      <c r="P204" s="108">
        <f>+P203</f>
        <v>1757345440</v>
      </c>
      <c r="Q204" s="108">
        <f t="shared" ref="Q204:S204" si="101">+Q203</f>
        <v>263253624.51666665</v>
      </c>
      <c r="R204" s="108">
        <f t="shared" si="101"/>
        <v>263208584.51666665</v>
      </c>
      <c r="S204" s="108">
        <f t="shared" si="101"/>
        <v>263204969</v>
      </c>
      <c r="T204" s="124">
        <f>+T203</f>
        <v>264824979</v>
      </c>
      <c r="U204" s="124"/>
      <c r="V204" s="124"/>
      <c r="W204" s="124"/>
      <c r="X204" s="124"/>
      <c r="Y204" s="124"/>
      <c r="Z204" s="108">
        <f>+Z203+Z185</f>
        <v>1054492157.0333334</v>
      </c>
      <c r="AA204" s="126">
        <f>O204-Z204</f>
        <v>25653999.966666579</v>
      </c>
      <c r="AB204" s="13"/>
      <c r="AC204" s="13"/>
    </row>
    <row r="205" spans="1:30" x14ac:dyDescent="0.25">
      <c r="A205" s="34" t="s">
        <v>60</v>
      </c>
      <c r="B205" s="110"/>
      <c r="C205" s="110"/>
      <c r="D205" s="231"/>
      <c r="E205" s="108">
        <f>E129+E194</f>
        <v>5061050262.132</v>
      </c>
      <c r="F205" s="108">
        <f>F129</f>
        <v>252150000</v>
      </c>
      <c r="G205" s="108"/>
      <c r="H205" s="108">
        <f>H183</f>
        <v>549603455</v>
      </c>
      <c r="I205" s="108">
        <f>I183</f>
        <v>841486313</v>
      </c>
      <c r="J205" s="108"/>
      <c r="K205" s="108">
        <f>K204</f>
        <v>87410000</v>
      </c>
      <c r="L205" s="108">
        <f>L204</f>
        <v>2750081597</v>
      </c>
      <c r="M205" s="108"/>
      <c r="N205" s="108">
        <f t="shared" ref="N205:Y205" si="102">N129+N183+N204</f>
        <v>9541781627.132</v>
      </c>
      <c r="O205" s="108">
        <f t="shared" si="102"/>
        <v>3309687627.164</v>
      </c>
      <c r="P205" s="108">
        <f t="shared" si="102"/>
        <v>6232093999.9680004</v>
      </c>
      <c r="Q205" s="108">
        <f t="shared" si="102"/>
        <v>494295059.51666665</v>
      </c>
      <c r="R205" s="108">
        <f t="shared" si="102"/>
        <v>322222435.68066663</v>
      </c>
      <c r="S205" s="108">
        <f t="shared" si="102"/>
        <v>350776207</v>
      </c>
      <c r="T205" s="108">
        <f t="shared" si="102"/>
        <v>526363414</v>
      </c>
      <c r="U205" s="108">
        <f t="shared" si="102"/>
        <v>0</v>
      </c>
      <c r="V205" s="108">
        <f t="shared" si="102"/>
        <v>0</v>
      </c>
      <c r="W205" s="108">
        <f t="shared" si="102"/>
        <v>0</v>
      </c>
      <c r="X205" s="108">
        <f t="shared" si="102"/>
        <v>0</v>
      </c>
      <c r="Y205" s="108">
        <f t="shared" si="102"/>
        <v>0</v>
      </c>
      <c r="Z205" s="108">
        <f>Z129+Z183+Z204</f>
        <v>1693657116.1973333</v>
      </c>
      <c r="AA205" s="201">
        <f>AA129+AA183+AA204</f>
        <v>1616030510.9666667</v>
      </c>
      <c r="AB205" s="13"/>
      <c r="AC205" s="13"/>
    </row>
    <row r="206" spans="1:30" s="14" customFormat="1" x14ac:dyDescent="0.25">
      <c r="A206" s="35"/>
      <c r="B206" s="104"/>
      <c r="C206" s="104"/>
      <c r="D206" s="222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238"/>
      <c r="AC206" s="179"/>
    </row>
    <row r="207" spans="1:30" s="38" customFormat="1" ht="19.5" customHeight="1" x14ac:dyDescent="0.25">
      <c r="A207" s="95" t="s">
        <v>51</v>
      </c>
      <c r="B207" s="96"/>
      <c r="C207" s="96"/>
      <c r="D207" s="97"/>
      <c r="E207" s="97">
        <f>E205</f>
        <v>5061050262.132</v>
      </c>
      <c r="F207" s="97">
        <f>F205</f>
        <v>252150000</v>
      </c>
      <c r="G207" s="97" t="e">
        <f>+G162+G132+G174+#REF!+#REF!+G203</f>
        <v>#REF!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f>E207+F207</f>
        <v>5313200262.132</v>
      </c>
      <c r="O207" s="97">
        <f>O129</f>
        <v>1771937777.164</v>
      </c>
      <c r="P207" s="97">
        <f>P129</f>
        <v>3541262484.9679999</v>
      </c>
      <c r="Q207" s="97">
        <f>+Q129</f>
        <v>49052780.25</v>
      </c>
      <c r="R207" s="97">
        <f>R129</f>
        <v>52867371.163999997</v>
      </c>
      <c r="S207" s="97">
        <f>S129</f>
        <v>79184643.719999999</v>
      </c>
      <c r="T207" s="97">
        <f>T129</f>
        <v>239713628.5</v>
      </c>
      <c r="U207" s="97">
        <f t="shared" ref="U207:Y207" si="103">U129</f>
        <v>0</v>
      </c>
      <c r="V207" s="97">
        <f t="shared" si="103"/>
        <v>0</v>
      </c>
      <c r="W207" s="97">
        <f t="shared" si="103"/>
        <v>0</v>
      </c>
      <c r="X207" s="97">
        <f t="shared" si="103"/>
        <v>0</v>
      </c>
      <c r="Y207" s="97">
        <f t="shared" si="103"/>
        <v>0</v>
      </c>
      <c r="Z207" s="97">
        <f>Z129</f>
        <v>420818423.63399994</v>
      </c>
      <c r="AA207" s="214">
        <f>AA129</f>
        <v>1351119353.5300002</v>
      </c>
      <c r="AB207" s="36"/>
      <c r="AC207" s="37"/>
    </row>
    <row r="208" spans="1:30" s="38" customFormat="1" ht="19.5" customHeight="1" x14ac:dyDescent="0.25">
      <c r="A208" s="95" t="s">
        <v>52</v>
      </c>
      <c r="B208" s="96"/>
      <c r="C208" s="96"/>
      <c r="D208" s="97"/>
      <c r="E208" s="97">
        <v>0</v>
      </c>
      <c r="F208" s="97">
        <v>0</v>
      </c>
      <c r="G208" s="97">
        <v>0</v>
      </c>
      <c r="H208" s="97">
        <f>H205</f>
        <v>549603455</v>
      </c>
      <c r="I208" s="97">
        <f>I205</f>
        <v>841486313</v>
      </c>
      <c r="J208" s="97">
        <f>J205</f>
        <v>0</v>
      </c>
      <c r="K208" s="97">
        <v>0</v>
      </c>
      <c r="L208" s="97">
        <v>0</v>
      </c>
      <c r="M208" s="97">
        <v>0</v>
      </c>
      <c r="N208" s="97">
        <f>H208+I208</f>
        <v>1391089768</v>
      </c>
      <c r="O208" s="97">
        <f>O183</f>
        <v>457603693</v>
      </c>
      <c r="P208" s="97">
        <f>P183</f>
        <v>933486075</v>
      </c>
      <c r="Q208" s="97">
        <f>+Q183</f>
        <v>181988654.75</v>
      </c>
      <c r="R208" s="97">
        <f>+R183</f>
        <v>6146480</v>
      </c>
      <c r="S208" s="97">
        <f>S183</f>
        <v>8386594.2800000003</v>
      </c>
      <c r="T208" s="97">
        <f>T183</f>
        <v>21824806.5</v>
      </c>
      <c r="U208" s="97">
        <f t="shared" ref="U208:Y208" si="104">U183</f>
        <v>0</v>
      </c>
      <c r="V208" s="97">
        <f t="shared" si="104"/>
        <v>0</v>
      </c>
      <c r="W208" s="97">
        <f t="shared" si="104"/>
        <v>0</v>
      </c>
      <c r="X208" s="97">
        <f t="shared" si="104"/>
        <v>0</v>
      </c>
      <c r="Y208" s="97">
        <f t="shared" si="104"/>
        <v>0</v>
      </c>
      <c r="Z208" s="97">
        <f>Z183</f>
        <v>218346535.53</v>
      </c>
      <c r="AA208" s="214">
        <f>AA183</f>
        <v>239257157.47</v>
      </c>
      <c r="AB208" s="36"/>
      <c r="AC208" s="37"/>
    </row>
    <row r="209" spans="1:29" s="38" customFormat="1" ht="19.5" customHeight="1" x14ac:dyDescent="0.25">
      <c r="A209" s="95" t="s">
        <v>53</v>
      </c>
      <c r="B209" s="96"/>
      <c r="C209" s="96"/>
      <c r="D209" s="97"/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0</v>
      </c>
      <c r="K209" s="97">
        <f>K205</f>
        <v>87410000</v>
      </c>
      <c r="L209" s="97">
        <f>L205</f>
        <v>2750081597</v>
      </c>
      <c r="M209" s="97">
        <f>M205</f>
        <v>0</v>
      </c>
      <c r="N209" s="97">
        <f>K209+L209</f>
        <v>2837491597</v>
      </c>
      <c r="O209" s="97">
        <f>O204</f>
        <v>1080146157</v>
      </c>
      <c r="P209" s="97">
        <f>P204</f>
        <v>1757345440</v>
      </c>
      <c r="Q209" s="97">
        <f>Q203</f>
        <v>263253624.51666665</v>
      </c>
      <c r="R209" s="97">
        <f>R203</f>
        <v>263208584.51666665</v>
      </c>
      <c r="S209" s="97">
        <f>S203</f>
        <v>263204969</v>
      </c>
      <c r="T209" s="97">
        <f>T203</f>
        <v>264824979</v>
      </c>
      <c r="U209" s="97">
        <f t="shared" ref="U209:Y209" si="105">U203</f>
        <v>0</v>
      </c>
      <c r="V209" s="97">
        <f t="shared" si="105"/>
        <v>0</v>
      </c>
      <c r="W209" s="97">
        <f t="shared" si="105"/>
        <v>0</v>
      </c>
      <c r="X209" s="97">
        <f t="shared" si="105"/>
        <v>0</v>
      </c>
      <c r="Y209" s="97">
        <f t="shared" si="105"/>
        <v>0</v>
      </c>
      <c r="Z209" s="97">
        <f>Z204</f>
        <v>1054492157.0333334</v>
      </c>
      <c r="AA209" s="214">
        <f>AA204</f>
        <v>25653999.966666579</v>
      </c>
      <c r="AB209" s="36"/>
      <c r="AC209" s="37"/>
    </row>
    <row r="210" spans="1:29" s="39" customFormat="1" ht="19.5" customHeight="1" x14ac:dyDescent="0.25">
      <c r="A210" s="239" t="s">
        <v>2</v>
      </c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>
        <f>+N207+N208+N209</f>
        <v>9541781627.132</v>
      </c>
      <c r="O210" s="240">
        <f>SUM(O207:O209)</f>
        <v>3309687627.164</v>
      </c>
      <c r="P210" s="240">
        <f>SUM(P207:P209)</f>
        <v>6232093999.9680004</v>
      </c>
      <c r="Q210" s="240">
        <f>SUM(Q207:Q209)</f>
        <v>494295059.51666665</v>
      </c>
      <c r="R210" s="240">
        <f t="shared" ref="R210:S210" si="106">SUM(R207:R209)</f>
        <v>322222435.68066663</v>
      </c>
      <c r="S210" s="240">
        <f t="shared" si="106"/>
        <v>350776207</v>
      </c>
      <c r="T210" s="240">
        <f>SUM(T207:T209)</f>
        <v>526363414</v>
      </c>
      <c r="U210" s="240">
        <f t="shared" ref="U210:Y210" si="107">SUM(U207:U209)</f>
        <v>0</v>
      </c>
      <c r="V210" s="240">
        <f t="shared" si="107"/>
        <v>0</v>
      </c>
      <c r="W210" s="240">
        <f t="shared" si="107"/>
        <v>0</v>
      </c>
      <c r="X210" s="240">
        <f t="shared" si="107"/>
        <v>0</v>
      </c>
      <c r="Y210" s="240">
        <f t="shared" si="107"/>
        <v>0</v>
      </c>
      <c r="Z210" s="240">
        <f>SUM(Z207:Z209)</f>
        <v>1693657116.1973333</v>
      </c>
      <c r="AA210" s="241">
        <f>SUM(AA207:AA209)</f>
        <v>1616030510.9666667</v>
      </c>
    </row>
    <row r="211" spans="1:29" s="1" customFormat="1" ht="15.75" thickBot="1" x14ac:dyDescent="0.3">
      <c r="A211" s="242" t="s">
        <v>22</v>
      </c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4"/>
      <c r="N211" s="244">
        <f t="shared" ref="N211:S211" si="108">+N210/$N$210</f>
        <v>1</v>
      </c>
      <c r="O211" s="244">
        <f t="shared" si="108"/>
        <v>0.34686264646352027</v>
      </c>
      <c r="P211" s="244">
        <f t="shared" si="108"/>
        <v>0.65313735353647984</v>
      </c>
      <c r="Q211" s="244">
        <f t="shared" si="108"/>
        <v>5.1803224893676204E-2</v>
      </c>
      <c r="R211" s="244">
        <f t="shared" si="108"/>
        <v>3.3769630062003203E-2</v>
      </c>
      <c r="S211" s="244">
        <f t="shared" si="108"/>
        <v>3.6762128993035215E-2</v>
      </c>
      <c r="T211" s="244"/>
      <c r="U211" s="244"/>
      <c r="V211" s="244"/>
      <c r="W211" s="244"/>
      <c r="X211" s="244"/>
      <c r="Y211" s="244"/>
      <c r="Z211" s="244">
        <f>+Z210/$N$210</f>
        <v>0.17749904392922064</v>
      </c>
      <c r="AA211" s="245">
        <f>+AA210/$N$210</f>
        <v>0.16936360253429961</v>
      </c>
    </row>
    <row r="212" spans="1:29" s="1" customFormat="1" x14ac:dyDescent="0.25">
      <c r="A212" s="112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</row>
    <row r="213" spans="1:29" s="1" customFormat="1" x14ac:dyDescent="0.25">
      <c r="A213" s="112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4"/>
      <c r="N213" s="114"/>
      <c r="O213" s="114"/>
      <c r="P213" s="114"/>
      <c r="Q213" s="180"/>
      <c r="R213" s="114"/>
      <c r="S213" s="114"/>
      <c r="T213" s="114"/>
      <c r="U213" s="114"/>
      <c r="V213" s="114"/>
      <c r="W213" s="114"/>
      <c r="X213" s="114"/>
      <c r="Y213" s="114"/>
      <c r="Z213" s="114"/>
      <c r="AA213" s="168"/>
    </row>
    <row r="214" spans="1:29" s="1" customFormat="1" x14ac:dyDescent="0.2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8"/>
      <c r="Q214" s="178"/>
      <c r="R214" s="178"/>
      <c r="S214" s="178"/>
      <c r="T214" s="170"/>
      <c r="U214" s="170"/>
      <c r="V214" s="170"/>
      <c r="W214" s="170"/>
      <c r="X214" s="170"/>
      <c r="Y214" s="170"/>
      <c r="Z214" s="178"/>
      <c r="AA214" s="170"/>
    </row>
    <row r="215" spans="1:29" x14ac:dyDescent="0.25">
      <c r="M215" s="17"/>
      <c r="N215" s="17"/>
      <c r="O215" s="19"/>
      <c r="P215" s="18"/>
      <c r="AA215" s="13"/>
    </row>
    <row r="216" spans="1:29" x14ac:dyDescent="0.25">
      <c r="I216" s="13"/>
      <c r="M216" s="17"/>
      <c r="N216" s="17"/>
      <c r="O216" s="20"/>
      <c r="P216" s="18"/>
      <c r="AA216" s="13"/>
    </row>
    <row r="217" spans="1:29" x14ac:dyDescent="0.25">
      <c r="M217" s="17"/>
      <c r="N217" s="17"/>
      <c r="O217" s="20"/>
      <c r="P217" s="18"/>
    </row>
    <row r="218" spans="1:29" x14ac:dyDescent="0.25">
      <c r="O218" s="23"/>
    </row>
    <row r="219" spans="1:29" x14ac:dyDescent="0.25">
      <c r="O219" s="22"/>
    </row>
    <row r="220" spans="1:29" x14ac:dyDescent="0.25">
      <c r="O220" s="21"/>
    </row>
    <row r="221" spans="1:29" x14ac:dyDescent="0.25">
      <c r="O221" s="21"/>
    </row>
  </sheetData>
  <mergeCells count="27">
    <mergeCell ref="AA24:AA25"/>
    <mergeCell ref="U24:U25"/>
    <mergeCell ref="W24:W25"/>
    <mergeCell ref="X24:X25"/>
    <mergeCell ref="Y24:Y25"/>
    <mergeCell ref="Z24:Z25"/>
    <mergeCell ref="P24:P25"/>
    <mergeCell ref="Q24:Q25"/>
    <mergeCell ref="R24:R25"/>
    <mergeCell ref="S24:S25"/>
    <mergeCell ref="T24:T25"/>
    <mergeCell ref="A1:AA1"/>
    <mergeCell ref="A2:AA2"/>
    <mergeCell ref="A4:AA4"/>
    <mergeCell ref="A24:A25"/>
    <mergeCell ref="B24:B25"/>
    <mergeCell ref="C24:C25"/>
    <mergeCell ref="D24:D25"/>
    <mergeCell ref="E24:F24"/>
    <mergeCell ref="G24:G25"/>
    <mergeCell ref="H24:I24"/>
    <mergeCell ref="V24:V25"/>
    <mergeCell ref="J24:J25"/>
    <mergeCell ref="K24:L24"/>
    <mergeCell ref="M24:M25"/>
    <mergeCell ref="N24:N25"/>
    <mergeCell ref="O24:O25"/>
  </mergeCells>
  <printOptions horizontalCentered="1" verticalCentered="1"/>
  <pageMargins left="1.299212598425197" right="0.70866141732283472" top="0.74803149606299213" bottom="0.74803149606299213" header="0.31496062992125984" footer="0.31496062992125984"/>
  <pageSetup paperSize="41" scale="40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62"/>
  <sheetViews>
    <sheetView view="pageBreakPreview" zoomScale="85" zoomScaleNormal="85" zoomScaleSheetLayoutView="85" workbookViewId="0">
      <selection activeCell="E68" sqref="E68"/>
    </sheetView>
  </sheetViews>
  <sheetFormatPr baseColWidth="10" defaultColWidth="9.140625" defaultRowHeight="15" x14ac:dyDescent="0.25"/>
  <cols>
    <col min="1" max="1" width="4.140625" customWidth="1"/>
    <col min="2" max="2" width="48.7109375" bestFit="1" customWidth="1"/>
    <col min="3" max="3" width="15.5703125" customWidth="1"/>
    <col min="4" max="4" width="16.85546875" customWidth="1"/>
    <col min="5" max="5" width="17.85546875" customWidth="1"/>
    <col min="6" max="6" width="16.85546875" customWidth="1"/>
    <col min="7" max="7" width="17.85546875" customWidth="1"/>
    <col min="8" max="8" width="20.42578125" customWidth="1"/>
    <col min="9" max="9" width="23.140625" customWidth="1"/>
    <col min="10" max="19" width="19.140625" customWidth="1"/>
    <col min="20" max="20" width="17.7109375" customWidth="1"/>
    <col min="21" max="21" width="15" customWidth="1"/>
    <col min="22" max="22" width="3.5703125" customWidth="1"/>
    <col min="23" max="23" width="19.140625" bestFit="1" customWidth="1"/>
    <col min="24" max="26" width="18.5703125" customWidth="1"/>
    <col min="27" max="27" width="18" bestFit="1" customWidth="1"/>
    <col min="28" max="28" width="15.5703125" customWidth="1"/>
    <col min="29" max="29" width="13.140625" style="1" bestFit="1" customWidth="1"/>
  </cols>
  <sheetData>
    <row r="1" spans="2:53" s="3" customFormat="1" ht="81.75" customHeight="1" x14ac:dyDescent="0.25">
      <c r="B1" s="262" t="s">
        <v>143</v>
      </c>
      <c r="C1" s="262"/>
      <c r="D1" s="262"/>
      <c r="E1" s="262"/>
      <c r="F1" s="262"/>
      <c r="G1" s="262"/>
      <c r="H1" s="262"/>
      <c r="I1" s="26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53" s="3" customFormat="1" ht="1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53" s="3" customFormat="1" ht="15" customHeight="1" x14ac:dyDescent="0.25">
      <c r="B3" s="281" t="s">
        <v>147</v>
      </c>
      <c r="C3" s="281"/>
      <c r="D3" s="281"/>
      <c r="E3" s="281"/>
      <c r="F3" s="281"/>
      <c r="G3" s="281"/>
      <c r="H3" s="281"/>
      <c r="I3" s="281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2:53" s="3" customFormat="1" ht="15" customHeight="1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77"/>
      <c r="AD4" s="177"/>
    </row>
    <row r="5" spans="2:53" s="3" customFormat="1" ht="15" customHeight="1" thickBot="1" x14ac:dyDescent="0.3">
      <c r="B5" s="49" t="s">
        <v>91</v>
      </c>
      <c r="C5" s="50">
        <v>43405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</row>
    <row r="6" spans="2:53" s="3" customFormat="1" ht="15" customHeight="1" thickBot="1" x14ac:dyDescent="0.3">
      <c r="B6" s="51" t="s">
        <v>10</v>
      </c>
      <c r="C6" s="52" t="e">
        <f>#REF!</f>
        <v>#REF!</v>
      </c>
      <c r="D6" s="177"/>
      <c r="E6" s="64" t="s">
        <v>67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24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</row>
    <row r="7" spans="2:53" s="3" customFormat="1" ht="15.75" customHeight="1" thickBot="1" x14ac:dyDescent="0.3">
      <c r="B7" s="53" t="s">
        <v>11</v>
      </c>
      <c r="C7" s="54" t="e">
        <f>#REF!</f>
        <v>#REF!</v>
      </c>
      <c r="D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24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</row>
    <row r="8" spans="2:53" s="3" customFormat="1" ht="15.75" customHeight="1" x14ac:dyDescent="0.25">
      <c r="B8" s="55" t="s">
        <v>65</v>
      </c>
      <c r="C8" s="56" t="e">
        <f>#REF!</f>
        <v>#REF!</v>
      </c>
      <c r="D8" s="177"/>
      <c r="E8" s="273" t="s">
        <v>64</v>
      </c>
      <c r="F8" s="274"/>
      <c r="G8" s="77" t="s">
        <v>78</v>
      </c>
      <c r="H8" s="78" t="s">
        <v>77</v>
      </c>
      <c r="I8" s="79" t="s">
        <v>92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</row>
    <row r="9" spans="2:53" s="3" customFormat="1" ht="15.75" customHeight="1" x14ac:dyDescent="0.25">
      <c r="B9" s="51" t="s">
        <v>66</v>
      </c>
      <c r="C9" s="57" t="e">
        <f>#REF!</f>
        <v>#REF!</v>
      </c>
      <c r="D9" s="177"/>
      <c r="E9" s="269" t="s">
        <v>72</v>
      </c>
      <c r="F9" s="270"/>
      <c r="G9" s="73"/>
      <c r="H9" s="74"/>
      <c r="I9" s="90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3" customFormat="1" ht="15.75" customHeight="1" x14ac:dyDescent="0.25">
      <c r="B10" s="51" t="s">
        <v>54</v>
      </c>
      <c r="C10" s="58" t="e">
        <f>#REF!</f>
        <v>#REF!</v>
      </c>
      <c r="D10" s="177"/>
      <c r="E10" s="271" t="s">
        <v>74</v>
      </c>
      <c r="F10" s="272"/>
      <c r="G10" s="44"/>
      <c r="H10" s="45"/>
      <c r="I10" s="16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3" customFormat="1" ht="15.75" customHeight="1" x14ac:dyDescent="0.25">
      <c r="B11" s="59" t="s">
        <v>55</v>
      </c>
      <c r="C11" s="60" t="e">
        <f>+C8+C9+C10</f>
        <v>#REF!</v>
      </c>
      <c r="D11" s="177"/>
      <c r="E11" s="271" t="s">
        <v>75</v>
      </c>
      <c r="F11" s="272"/>
      <c r="G11" s="44"/>
      <c r="H11" s="45"/>
      <c r="I11" s="6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3" customFormat="1" ht="15.75" customHeight="1" thickBot="1" x14ac:dyDescent="0.3">
      <c r="B12" s="51" t="s">
        <v>68</v>
      </c>
      <c r="C12" s="57" t="e">
        <f>#REF!</f>
        <v>#REF!</v>
      </c>
      <c r="D12" s="177"/>
      <c r="E12" s="277" t="s">
        <v>76</v>
      </c>
      <c r="F12" s="278"/>
      <c r="G12" s="70"/>
      <c r="H12" s="71"/>
      <c r="I12" s="72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</row>
    <row r="13" spans="2:53" s="3" customFormat="1" ht="15.75" customHeight="1" x14ac:dyDescent="0.25">
      <c r="B13" s="51" t="s">
        <v>69</v>
      </c>
      <c r="C13" s="57" t="e">
        <f>#REF!</f>
        <v>#REF!</v>
      </c>
      <c r="D13" s="177"/>
      <c r="E13" s="275" t="s">
        <v>73</v>
      </c>
      <c r="F13" s="276"/>
      <c r="G13" s="75" t="s">
        <v>78</v>
      </c>
      <c r="H13" s="76" t="s">
        <v>77</v>
      </c>
      <c r="I13" s="79" t="s">
        <v>92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3" customFormat="1" ht="15.75" customHeight="1" x14ac:dyDescent="0.25">
      <c r="B14" s="51" t="s">
        <v>56</v>
      </c>
      <c r="C14" s="58" t="e">
        <f>#REF!</f>
        <v>#REF!</v>
      </c>
      <c r="D14" s="177"/>
      <c r="E14" s="269" t="s">
        <v>72</v>
      </c>
      <c r="F14" s="270"/>
      <c r="G14" s="73"/>
      <c r="H14" s="74"/>
      <c r="I14" s="90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3" customFormat="1" ht="15.75" customHeight="1" x14ac:dyDescent="0.25">
      <c r="B15" s="59" t="s">
        <v>57</v>
      </c>
      <c r="C15" s="60" t="e">
        <f>+C12+C13+C14</f>
        <v>#REF!</v>
      </c>
      <c r="D15" s="177"/>
      <c r="E15" s="271" t="s">
        <v>74</v>
      </c>
      <c r="F15" s="272"/>
      <c r="G15" s="44"/>
      <c r="H15" s="45"/>
      <c r="I15" s="16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3" customFormat="1" ht="15.75" customHeight="1" x14ac:dyDescent="0.25">
      <c r="B16" s="51" t="s">
        <v>70</v>
      </c>
      <c r="C16" s="57" t="e">
        <f>#REF!</f>
        <v>#REF!</v>
      </c>
      <c r="D16" s="177"/>
      <c r="E16" s="271" t="s">
        <v>75</v>
      </c>
      <c r="F16" s="272"/>
      <c r="G16" s="44"/>
      <c r="H16" s="44"/>
      <c r="I16" s="66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3" customFormat="1" ht="15.75" customHeight="1" thickBot="1" x14ac:dyDescent="0.3">
      <c r="B17" s="51" t="s">
        <v>71</v>
      </c>
      <c r="C17" s="57" t="e">
        <f>#REF!</f>
        <v>#REF!</v>
      </c>
      <c r="D17" s="177"/>
      <c r="E17" s="279" t="s">
        <v>76</v>
      </c>
      <c r="F17" s="280"/>
      <c r="G17" s="67"/>
      <c r="H17" s="68"/>
      <c r="I17" s="69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3" customFormat="1" ht="15.75" customHeight="1" x14ac:dyDescent="0.25">
      <c r="B18" s="51" t="s">
        <v>58</v>
      </c>
      <c r="C18" s="58" t="e">
        <f>#REF!</f>
        <v>#REF!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3" customFormat="1" ht="15.75" customHeight="1" x14ac:dyDescent="0.25">
      <c r="B19" s="61" t="s">
        <v>59</v>
      </c>
      <c r="C19" s="62" t="e">
        <f>+C16+C17+C18</f>
        <v>#REF!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3" customFormat="1" ht="15.75" customHeight="1" thickBot="1" x14ac:dyDescent="0.3">
      <c r="B20" s="63" t="s">
        <v>60</v>
      </c>
      <c r="C20" s="162" t="e">
        <f>+C11+C15+C19</f>
        <v>#REF!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3" customFormat="1" ht="15.75" customHeight="1" x14ac:dyDescent="0.25">
      <c r="B21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x14ac:dyDescent="0.25">
      <c r="U22" s="12"/>
      <c r="V22" s="12"/>
      <c r="W22" s="12"/>
      <c r="AC22"/>
    </row>
    <row r="23" spans="2:53" ht="15.75" thickBot="1" x14ac:dyDescent="0.3"/>
    <row r="24" spans="2:53" ht="15.75" customHeight="1" thickBot="1" x14ac:dyDescent="0.3">
      <c r="B24" s="263" t="s">
        <v>4</v>
      </c>
      <c r="C24" s="266" t="s">
        <v>147</v>
      </c>
      <c r="D24" s="267"/>
      <c r="E24" s="267"/>
      <c r="F24" s="267"/>
      <c r="G24" s="267"/>
      <c r="H24" s="267"/>
      <c r="I24" s="268"/>
      <c r="J24" s="5"/>
    </row>
    <row r="25" spans="2:53" ht="38.25" x14ac:dyDescent="0.25">
      <c r="B25" s="264"/>
      <c r="C25" s="40" t="s">
        <v>40</v>
      </c>
      <c r="D25" s="176" t="s">
        <v>41</v>
      </c>
      <c r="E25" s="127" t="s">
        <v>6</v>
      </c>
      <c r="F25" s="128" t="s">
        <v>8</v>
      </c>
      <c r="G25" s="128" t="s">
        <v>9</v>
      </c>
      <c r="H25" s="128" t="s">
        <v>104</v>
      </c>
      <c r="I25" s="129" t="s">
        <v>114</v>
      </c>
      <c r="J25" s="152"/>
    </row>
    <row r="26" spans="2:53" x14ac:dyDescent="0.25">
      <c r="B26" s="130" t="s">
        <v>106</v>
      </c>
      <c r="C26" s="151"/>
      <c r="D26" s="132"/>
      <c r="E26" s="133"/>
      <c r="F26" s="133"/>
      <c r="G26" s="134"/>
      <c r="H26" s="134"/>
      <c r="I26" s="158"/>
      <c r="J26" s="153"/>
    </row>
    <row r="27" spans="2:53" x14ac:dyDescent="0.25">
      <c r="B27" s="41" t="s">
        <v>31</v>
      </c>
      <c r="C27" s="135" t="e">
        <f>#REF!</f>
        <v>#REF!</v>
      </c>
      <c r="D27" s="135">
        <f>[1]DETALLE!F64</f>
        <v>0</v>
      </c>
      <c r="E27" s="135" t="e">
        <f t="shared" ref="E27:E32" si="0">C27+D27</f>
        <v>#REF!</v>
      </c>
      <c r="F27" s="135" t="e">
        <f>#REF!-165816000-140695000</f>
        <v>#REF!</v>
      </c>
      <c r="G27" s="136" t="e">
        <f>E27-F27</f>
        <v>#REF!</v>
      </c>
      <c r="H27" s="136" t="e">
        <f>#REF!-22070000</f>
        <v>#REF!</v>
      </c>
      <c r="I27" s="148" t="e">
        <f>+F27-H27</f>
        <v>#REF!</v>
      </c>
      <c r="J27" s="154"/>
    </row>
    <row r="28" spans="2:53" x14ac:dyDescent="0.25">
      <c r="B28" s="41" t="s">
        <v>62</v>
      </c>
      <c r="C28" s="135" t="e">
        <f>#REF!</f>
        <v>#REF!</v>
      </c>
      <c r="D28" s="135">
        <f>[1]DETALLE!F69</f>
        <v>0</v>
      </c>
      <c r="E28" s="135" t="e">
        <f t="shared" si="0"/>
        <v>#REF!</v>
      </c>
      <c r="F28" s="135" t="e">
        <f>#REF!</f>
        <v>#REF!</v>
      </c>
      <c r="G28" s="136" t="e">
        <f>E28-F28</f>
        <v>#REF!</v>
      </c>
      <c r="H28" s="136" t="e">
        <f>#REF!-14233104</f>
        <v>#REF!</v>
      </c>
      <c r="I28" s="148" t="e">
        <f t="shared" ref="I28:I32" si="1">+F28-H28</f>
        <v>#REF!</v>
      </c>
      <c r="J28" s="154"/>
    </row>
    <row r="29" spans="2:53" x14ac:dyDescent="0.25">
      <c r="B29" s="41" t="s">
        <v>63</v>
      </c>
      <c r="C29" s="135" t="e">
        <f>#REF!</f>
        <v>#REF!</v>
      </c>
      <c r="D29" s="135" t="e">
        <f>#REF!</f>
        <v>#REF!</v>
      </c>
      <c r="E29" s="135" t="e">
        <f t="shared" si="0"/>
        <v>#REF!</v>
      </c>
      <c r="F29" s="135" t="e">
        <f>#REF!</f>
        <v>#REF!</v>
      </c>
      <c r="G29" s="136" t="e">
        <f t="shared" ref="G29" si="2">E29-F29</f>
        <v>#REF!</v>
      </c>
      <c r="H29" s="136" t="e">
        <f>#REF!-11098000</f>
        <v>#REF!</v>
      </c>
      <c r="I29" s="148" t="e">
        <f t="shared" si="1"/>
        <v>#REF!</v>
      </c>
      <c r="J29" s="154"/>
    </row>
    <row r="30" spans="2:53" x14ac:dyDescent="0.25">
      <c r="B30" s="41" t="s">
        <v>27</v>
      </c>
      <c r="C30" s="135" t="e">
        <f>#REF!</f>
        <v>#REF!</v>
      </c>
      <c r="D30" s="135">
        <f>[1]DETALLE!F77</f>
        <v>0</v>
      </c>
      <c r="E30" s="135" t="e">
        <f t="shared" si="0"/>
        <v>#REF!</v>
      </c>
      <c r="F30" s="135" t="e">
        <f>#REF!-47313455-150000000</f>
        <v>#REF!</v>
      </c>
      <c r="G30" s="136" t="e">
        <f>E30-F30</f>
        <v>#REF!</v>
      </c>
      <c r="H30" s="136" t="e">
        <f>#REF!</f>
        <v>#REF!</v>
      </c>
      <c r="I30" s="148" t="e">
        <f t="shared" si="1"/>
        <v>#REF!</v>
      </c>
      <c r="J30" s="154"/>
    </row>
    <row r="31" spans="2:53" x14ac:dyDescent="0.25">
      <c r="B31" s="41" t="s">
        <v>23</v>
      </c>
      <c r="C31" s="135" t="e">
        <f>#REF!</f>
        <v>#REF!</v>
      </c>
      <c r="D31" s="135">
        <f>[1]DETALLE!F80</f>
        <v>0</v>
      </c>
      <c r="E31" s="135" t="e">
        <f t="shared" si="0"/>
        <v>#REF!</v>
      </c>
      <c r="F31" s="135" t="e">
        <f>#REF!-34000000</f>
        <v>#REF!</v>
      </c>
      <c r="G31" s="136" t="e">
        <f>E31-F31</f>
        <v>#REF!</v>
      </c>
      <c r="H31" s="136" t="e">
        <f>#REF!</f>
        <v>#REF!</v>
      </c>
      <c r="I31" s="148" t="e">
        <f t="shared" si="1"/>
        <v>#REF!</v>
      </c>
      <c r="J31" s="154"/>
    </row>
    <row r="32" spans="2:53" ht="15.75" thickBot="1" x14ac:dyDescent="0.3">
      <c r="B32" s="42" t="s">
        <v>15</v>
      </c>
      <c r="C32" s="135" t="e">
        <f>#REF!+#REF!</f>
        <v>#REF!</v>
      </c>
      <c r="D32" s="135">
        <f>[1]DETALLE!F83</f>
        <v>0</v>
      </c>
      <c r="E32" s="135" t="e">
        <f t="shared" si="0"/>
        <v>#REF!</v>
      </c>
      <c r="F32" s="135" t="e">
        <f>#REF!+22442615</f>
        <v>#REF!</v>
      </c>
      <c r="G32" s="136" t="e">
        <f>#REF!</f>
        <v>#REF!</v>
      </c>
      <c r="H32" s="136" t="e">
        <f>#REF!-111860</f>
        <v>#REF!</v>
      </c>
      <c r="I32" s="148" t="e">
        <f t="shared" si="1"/>
        <v>#REF!</v>
      </c>
      <c r="J32" s="154"/>
    </row>
    <row r="33" spans="2:11" ht="16.5" thickTop="1" thickBot="1" x14ac:dyDescent="0.3">
      <c r="B33" s="137" t="s">
        <v>107</v>
      </c>
      <c r="C33" s="138" t="e">
        <f>SUM(C27:C32)</f>
        <v>#REF!</v>
      </c>
      <c r="D33" s="138" t="e">
        <f>SUM(D27:D32)</f>
        <v>#REF!</v>
      </c>
      <c r="E33" s="138" t="e">
        <f>SUM(E27:E32)</f>
        <v>#REF!</v>
      </c>
      <c r="F33" s="138" t="e">
        <f>SUM(F27:F32)</f>
        <v>#REF!</v>
      </c>
      <c r="G33" s="139" t="e">
        <f t="shared" ref="G33" si="3">SUM(G27:G32)</f>
        <v>#REF!</v>
      </c>
      <c r="H33" s="139" t="e">
        <f>SUM(H27:H32)</f>
        <v>#REF!</v>
      </c>
      <c r="I33" s="159" t="e">
        <f>SUM(I27:I32)</f>
        <v>#REF!</v>
      </c>
      <c r="J33" s="155"/>
      <c r="K33" s="13" t="e">
        <f>+C33-#REF!</f>
        <v>#REF!</v>
      </c>
    </row>
    <row r="34" spans="2:11" ht="15.75" thickTop="1" x14ac:dyDescent="0.25">
      <c r="B34" s="140"/>
      <c r="C34" s="141"/>
      <c r="D34" s="142"/>
      <c r="E34" s="142"/>
      <c r="F34" s="142"/>
      <c r="G34" s="143"/>
      <c r="H34" s="143"/>
      <c r="I34" s="160"/>
      <c r="J34" s="154"/>
    </row>
    <row r="35" spans="2:11" x14ac:dyDescent="0.25">
      <c r="B35" s="130" t="s">
        <v>108</v>
      </c>
      <c r="C35" s="151"/>
      <c r="D35" s="132"/>
      <c r="E35" s="133"/>
      <c r="F35" s="133"/>
      <c r="G35" s="134"/>
      <c r="H35" s="134"/>
      <c r="I35" s="158"/>
      <c r="J35" s="154"/>
    </row>
    <row r="36" spans="2:11" x14ac:dyDescent="0.25">
      <c r="B36" s="41" t="s">
        <v>31</v>
      </c>
      <c r="C36" s="135" t="e">
        <f>+#REF!</f>
        <v>#REF!</v>
      </c>
      <c r="D36" s="135" t="e">
        <f>+#REF!</f>
        <v>#REF!</v>
      </c>
      <c r="E36" s="135" t="e">
        <f>C36+D36</f>
        <v>#REF!</v>
      </c>
      <c r="F36" s="135" t="e">
        <f>#REF!+140695000</f>
        <v>#REF!</v>
      </c>
      <c r="G36" s="136" t="e">
        <f t="shared" ref="G36:G40" si="4">E36-F36</f>
        <v>#REF!</v>
      </c>
      <c r="H36" s="136" t="e">
        <f>#REF!</f>
        <v>#REF!</v>
      </c>
      <c r="I36" s="148" t="e">
        <f>+F36-H36</f>
        <v>#REF!</v>
      </c>
      <c r="J36" s="154"/>
    </row>
    <row r="37" spans="2:11" x14ac:dyDescent="0.25">
      <c r="B37" s="41" t="s">
        <v>62</v>
      </c>
      <c r="C37" s="135" t="e">
        <f>#REF!</f>
        <v>#REF!</v>
      </c>
      <c r="D37" s="135">
        <f>[1]DETALLE!F78</f>
        <v>0</v>
      </c>
      <c r="E37" s="135" t="e">
        <f t="shared" ref="E37:E41" si="5">C37+D37</f>
        <v>#REF!</v>
      </c>
      <c r="F37" s="135" t="e">
        <f>#REF!</f>
        <v>#REF!</v>
      </c>
      <c r="G37" s="136" t="e">
        <f>E37-F37</f>
        <v>#REF!</v>
      </c>
      <c r="H37" s="136" t="e">
        <f>#REF!-908496</f>
        <v>#REF!</v>
      </c>
      <c r="I37" s="148" t="e">
        <f t="shared" ref="I37:I41" si="6">+F37-H37</f>
        <v>#REF!</v>
      </c>
      <c r="J37" s="154"/>
    </row>
    <row r="38" spans="2:11" x14ac:dyDescent="0.25">
      <c r="B38" s="41" t="s">
        <v>63</v>
      </c>
      <c r="C38" s="135" t="e">
        <f>#REF!</f>
        <v>#REF!</v>
      </c>
      <c r="D38" s="135" t="e">
        <f>#REF!</f>
        <v>#REF!</v>
      </c>
      <c r="E38" s="135" t="e">
        <f t="shared" si="5"/>
        <v>#REF!</v>
      </c>
      <c r="F38" s="135" t="e">
        <f>#REF!</f>
        <v>#REF!</v>
      </c>
      <c r="G38" s="136" t="e">
        <f t="shared" si="4"/>
        <v>#REF!</v>
      </c>
      <c r="H38" s="136" t="e">
        <f>#REF!</f>
        <v>#REF!</v>
      </c>
      <c r="I38" s="148" t="e">
        <f t="shared" si="6"/>
        <v>#REF!</v>
      </c>
      <c r="J38" s="154"/>
    </row>
    <row r="39" spans="2:11" x14ac:dyDescent="0.25">
      <c r="B39" s="41" t="s">
        <v>27</v>
      </c>
      <c r="C39" s="135" t="e">
        <f>+#REF!</f>
        <v>#REF!</v>
      </c>
      <c r="D39" s="135" t="e">
        <f>+#REF!</f>
        <v>#REF!</v>
      </c>
      <c r="E39" s="135" t="e">
        <f>C39+D39</f>
        <v>#REF!</v>
      </c>
      <c r="F39" s="135" t="e">
        <f>#REF!+47313455+150000000</f>
        <v>#REF!</v>
      </c>
      <c r="G39" s="136" t="e">
        <f t="shared" si="4"/>
        <v>#REF!</v>
      </c>
      <c r="H39" s="136" t="e">
        <f>#REF!</f>
        <v>#REF!</v>
      </c>
      <c r="I39" s="148" t="e">
        <f t="shared" si="6"/>
        <v>#REF!</v>
      </c>
      <c r="J39" s="154"/>
    </row>
    <row r="40" spans="2:11" x14ac:dyDescent="0.25">
      <c r="B40" s="41" t="s">
        <v>23</v>
      </c>
      <c r="C40" s="135" t="e">
        <f>#REF!</f>
        <v>#REF!</v>
      </c>
      <c r="D40" s="135" t="e">
        <f>#REF!</f>
        <v>#REF!</v>
      </c>
      <c r="E40" s="135" t="e">
        <f t="shared" si="5"/>
        <v>#REF!</v>
      </c>
      <c r="F40" s="135" t="e">
        <f>#REF!</f>
        <v>#REF!</v>
      </c>
      <c r="G40" s="136" t="e">
        <f t="shared" si="4"/>
        <v>#REF!</v>
      </c>
      <c r="H40" s="136" t="e">
        <f>#REF!</f>
        <v>#REF!</v>
      </c>
      <c r="I40" s="148" t="e">
        <f t="shared" si="6"/>
        <v>#REF!</v>
      </c>
      <c r="J40" s="154"/>
    </row>
    <row r="41" spans="2:11" ht="15.75" thickBot="1" x14ac:dyDescent="0.3">
      <c r="B41" s="42" t="s">
        <v>15</v>
      </c>
      <c r="C41" s="135" t="e">
        <f>#REF!</f>
        <v>#REF!</v>
      </c>
      <c r="D41" s="135">
        <f>[1]DETALLE!F92</f>
        <v>0</v>
      </c>
      <c r="E41" s="135" t="e">
        <f t="shared" si="5"/>
        <v>#REF!</v>
      </c>
      <c r="F41" s="135" t="e">
        <f>#REF!</f>
        <v>#REF!</v>
      </c>
      <c r="G41" s="136" t="e">
        <f>E41-F41</f>
        <v>#REF!</v>
      </c>
      <c r="H41" s="136" t="e">
        <f>#REF!-7140</f>
        <v>#REF!</v>
      </c>
      <c r="I41" s="148" t="e">
        <f t="shared" si="6"/>
        <v>#REF!</v>
      </c>
      <c r="J41" s="154"/>
    </row>
    <row r="42" spans="2:11" ht="16.5" thickTop="1" thickBot="1" x14ac:dyDescent="0.3">
      <c r="B42" s="137" t="s">
        <v>109</v>
      </c>
      <c r="C42" s="138" t="e">
        <f>SUM(C36:C41)</f>
        <v>#REF!</v>
      </c>
      <c r="D42" s="138" t="e">
        <f>SUM(D36:D41)</f>
        <v>#REF!</v>
      </c>
      <c r="E42" s="138" t="e">
        <f>SUM(E36:E41)</f>
        <v>#REF!</v>
      </c>
      <c r="F42" s="138" t="e">
        <f>SUM(F36:F41)</f>
        <v>#REF!</v>
      </c>
      <c r="G42" s="139" t="e">
        <f t="shared" ref="G42:I42" si="7">SUM(G36:G41)</f>
        <v>#REF!</v>
      </c>
      <c r="H42" s="139" t="e">
        <f>SUM(H36:H41)</f>
        <v>#REF!</v>
      </c>
      <c r="I42" s="159" t="e">
        <f t="shared" si="7"/>
        <v>#REF!</v>
      </c>
      <c r="J42" s="154"/>
    </row>
    <row r="43" spans="2:11" ht="15.75" thickTop="1" x14ac:dyDescent="0.25">
      <c r="B43" s="140"/>
      <c r="C43" s="141"/>
      <c r="D43" s="142"/>
      <c r="E43" s="142"/>
      <c r="F43" s="142"/>
      <c r="G43" s="143"/>
      <c r="H43" s="143"/>
      <c r="I43" s="160"/>
      <c r="J43" s="154"/>
    </row>
    <row r="44" spans="2:11" x14ac:dyDescent="0.25">
      <c r="B44" s="144" t="s">
        <v>105</v>
      </c>
      <c r="C44" s="131"/>
      <c r="D44" s="145"/>
      <c r="E44" s="146"/>
      <c r="F44" s="146"/>
      <c r="G44" s="147"/>
      <c r="H44" s="147"/>
      <c r="I44" s="161"/>
      <c r="J44" s="153"/>
    </row>
    <row r="45" spans="2:11" x14ac:dyDescent="0.25">
      <c r="B45" s="41" t="s">
        <v>31</v>
      </c>
      <c r="C45" s="135" t="e">
        <f>+#REF!</f>
        <v>#REF!</v>
      </c>
      <c r="D45" s="135"/>
      <c r="E45" s="135" t="e">
        <f t="shared" ref="E45:E48" si="8">C45+D45</f>
        <v>#REF!</v>
      </c>
      <c r="F45" s="135">
        <v>81810000</v>
      </c>
      <c r="G45" s="136" t="e">
        <f t="shared" ref="G45:G49" si="9">E45-F45</f>
        <v>#REF!</v>
      </c>
      <c r="H45" s="136" t="e">
        <f>#REF!</f>
        <v>#REF!</v>
      </c>
      <c r="I45" s="148" t="e">
        <f>+F45-H45</f>
        <v>#REF!</v>
      </c>
      <c r="J45" s="154"/>
    </row>
    <row r="46" spans="2:11" x14ac:dyDescent="0.25">
      <c r="B46" s="41" t="s">
        <v>62</v>
      </c>
      <c r="C46" s="135"/>
      <c r="D46" s="135"/>
      <c r="E46" s="135">
        <f t="shared" si="8"/>
        <v>0</v>
      </c>
      <c r="F46" s="135"/>
      <c r="G46" s="136">
        <f t="shared" si="9"/>
        <v>0</v>
      </c>
      <c r="H46" s="136" t="e">
        <f>#REF!</f>
        <v>#REF!</v>
      </c>
      <c r="I46" s="148" t="e">
        <f t="shared" ref="I46" si="10">+F46-H46</f>
        <v>#REF!</v>
      </c>
      <c r="J46" s="154"/>
    </row>
    <row r="47" spans="2:11" x14ac:dyDescent="0.25">
      <c r="B47" s="41" t="s">
        <v>63</v>
      </c>
      <c r="C47" s="135"/>
      <c r="D47" s="135" t="e">
        <f>+#REF!</f>
        <v>#REF!</v>
      </c>
      <c r="E47" s="135" t="e">
        <f t="shared" si="8"/>
        <v>#REF!</v>
      </c>
      <c r="F47" s="135">
        <v>2900000</v>
      </c>
      <c r="G47" s="136" t="e">
        <f t="shared" si="9"/>
        <v>#REF!</v>
      </c>
      <c r="H47" s="136"/>
      <c r="I47" s="148">
        <f>+F47-H47</f>
        <v>2900000</v>
      </c>
      <c r="J47" s="154"/>
    </row>
    <row r="48" spans="2:11" x14ac:dyDescent="0.25">
      <c r="B48" s="41" t="s">
        <v>27</v>
      </c>
      <c r="C48" s="135" t="e">
        <f>#REF!</f>
        <v>#REF!</v>
      </c>
      <c r="D48" s="135" t="e">
        <f>#REF!</f>
        <v>#REF!</v>
      </c>
      <c r="E48" s="135" t="e">
        <f t="shared" si="8"/>
        <v>#REF!</v>
      </c>
      <c r="F48" s="135" t="e">
        <f>#REF!</f>
        <v>#REF!</v>
      </c>
      <c r="G48" s="136" t="e">
        <f t="shared" si="9"/>
        <v>#REF!</v>
      </c>
      <c r="H48" s="136" t="e">
        <f>#REF!</f>
        <v>#REF!</v>
      </c>
      <c r="I48" s="148" t="e">
        <f>+F48-H48</f>
        <v>#REF!</v>
      </c>
      <c r="J48" s="154"/>
    </row>
    <row r="49" spans="2:11" x14ac:dyDescent="0.25">
      <c r="B49" s="41" t="s">
        <v>23</v>
      </c>
      <c r="C49" s="135"/>
      <c r="D49" s="135" t="e">
        <f>+#REF!</f>
        <v>#REF!</v>
      </c>
      <c r="E49" s="135" t="e">
        <f>C49+D49</f>
        <v>#REF!</v>
      </c>
      <c r="F49" s="135">
        <v>34000000</v>
      </c>
      <c r="G49" s="136" t="e">
        <f t="shared" si="9"/>
        <v>#REF!</v>
      </c>
      <c r="H49" s="136"/>
      <c r="I49" s="148">
        <f>+F49-H49</f>
        <v>34000000</v>
      </c>
      <c r="J49" s="154"/>
    </row>
    <row r="50" spans="2:11" ht="15.75" thickBot="1" x14ac:dyDescent="0.3">
      <c r="B50" s="42" t="s">
        <v>15</v>
      </c>
      <c r="C50" s="135" t="e">
        <f>#REF!</f>
        <v>#REF!</v>
      </c>
      <c r="D50" s="135" t="e">
        <f>#REF!</f>
        <v>#REF!</v>
      </c>
      <c r="E50" s="135" t="e">
        <f>C50+D50</f>
        <v>#REF!</v>
      </c>
      <c r="F50" s="135" t="e">
        <f>#REF!+2718781597-525757817</f>
        <v>#REF!</v>
      </c>
      <c r="G50" s="136" t="e">
        <f>E50-F50</f>
        <v>#REF!</v>
      </c>
      <c r="H50" s="136" t="e">
        <f>+#REF!+#REF!-268878909</f>
        <v>#REF!</v>
      </c>
      <c r="I50" s="148" t="e">
        <f>+F50-H50</f>
        <v>#REF!</v>
      </c>
      <c r="J50" s="154"/>
    </row>
    <row r="51" spans="2:11" ht="16.5" thickTop="1" thickBot="1" x14ac:dyDescent="0.3">
      <c r="B51" s="137" t="s">
        <v>113</v>
      </c>
      <c r="C51" s="138" t="e">
        <f>SUM(C45:C50)</f>
        <v>#REF!</v>
      </c>
      <c r="D51" s="138" t="e">
        <f>SUM(D45:D50)</f>
        <v>#REF!</v>
      </c>
      <c r="E51" s="138" t="e">
        <f t="shared" ref="E51:I51" si="11">SUM(E45:E50)</f>
        <v>#REF!</v>
      </c>
      <c r="F51" s="138" t="e">
        <f>SUM(F45:F50)</f>
        <v>#REF!</v>
      </c>
      <c r="G51" s="139" t="e">
        <f>SUM(G45:G50)</f>
        <v>#REF!</v>
      </c>
      <c r="H51" s="139" t="e">
        <f t="shared" si="11"/>
        <v>#REF!</v>
      </c>
      <c r="I51" s="159" t="e">
        <f t="shared" si="11"/>
        <v>#REF!</v>
      </c>
      <c r="J51" s="154"/>
    </row>
    <row r="52" spans="2:11" ht="16.5" thickTop="1" thickBot="1" x14ac:dyDescent="0.3">
      <c r="B52" s="149" t="s">
        <v>2</v>
      </c>
      <c r="C52" s="163" t="e">
        <f t="shared" ref="C52:I52" si="12">C33+C42+C51</f>
        <v>#REF!</v>
      </c>
      <c r="D52" s="163" t="e">
        <f t="shared" si="12"/>
        <v>#REF!</v>
      </c>
      <c r="E52" s="163" t="e">
        <f t="shared" si="12"/>
        <v>#REF!</v>
      </c>
      <c r="F52" s="163" t="e">
        <f t="shared" si="12"/>
        <v>#REF!</v>
      </c>
      <c r="G52" s="163" t="e">
        <f t="shared" si="12"/>
        <v>#REF!</v>
      </c>
      <c r="H52" s="163" t="e">
        <f t="shared" si="12"/>
        <v>#REF!</v>
      </c>
      <c r="I52" s="164" t="e">
        <f t="shared" si="12"/>
        <v>#REF!</v>
      </c>
      <c r="J52" s="156"/>
      <c r="K52" s="13"/>
    </row>
    <row r="53" spans="2:11" x14ac:dyDescent="0.25">
      <c r="B53" s="265" t="s">
        <v>13</v>
      </c>
      <c r="C53" s="265"/>
      <c r="D53" s="265"/>
      <c r="E53" s="265"/>
      <c r="F53" s="150" t="e">
        <f>F52/$E$52</f>
        <v>#REF!</v>
      </c>
      <c r="G53" s="150" t="e">
        <f>G52/$E$52</f>
        <v>#REF!</v>
      </c>
      <c r="H53" s="150" t="e">
        <f>H52/$E$52</f>
        <v>#REF!</v>
      </c>
      <c r="I53" s="150" t="e">
        <f>I52/$E$52</f>
        <v>#REF!</v>
      </c>
      <c r="J53" s="157"/>
      <c r="K53" s="13"/>
    </row>
    <row r="54" spans="2:11" x14ac:dyDescent="0.25">
      <c r="D54" s="150"/>
      <c r="I54" s="13"/>
      <c r="K54" s="13">
        <f>+K52-K53</f>
        <v>0</v>
      </c>
    </row>
    <row r="55" spans="2:11" x14ac:dyDescent="0.25">
      <c r="B55" t="s">
        <v>17</v>
      </c>
      <c r="D55" t="s">
        <v>16</v>
      </c>
      <c r="H55" t="s">
        <v>7</v>
      </c>
      <c r="I55" s="13"/>
      <c r="K55" s="13"/>
    </row>
    <row r="56" spans="2:11" x14ac:dyDescent="0.25">
      <c r="K56" s="13"/>
    </row>
    <row r="58" spans="2:11" x14ac:dyDescent="0.25">
      <c r="K58" s="13"/>
    </row>
    <row r="59" spans="2:11" x14ac:dyDescent="0.25">
      <c r="B59" s="11"/>
      <c r="D59" s="11"/>
      <c r="E59" s="11"/>
      <c r="F59" s="11"/>
      <c r="H59" s="11"/>
      <c r="I59" s="11"/>
      <c r="K59" s="13"/>
    </row>
    <row r="60" spans="2:11" x14ac:dyDescent="0.25">
      <c r="B60" s="6" t="s">
        <v>144</v>
      </c>
      <c r="D60" s="6" t="s">
        <v>93</v>
      </c>
      <c r="H60" s="6" t="s">
        <v>18</v>
      </c>
      <c r="K60" s="13"/>
    </row>
    <row r="61" spans="2:11" x14ac:dyDescent="0.25">
      <c r="B61" t="s">
        <v>146</v>
      </c>
      <c r="D61" t="s">
        <v>145</v>
      </c>
      <c r="H61" t="s">
        <v>19</v>
      </c>
    </row>
    <row r="62" spans="2:11" x14ac:dyDescent="0.25">
      <c r="B62" t="s">
        <v>14</v>
      </c>
      <c r="D62" t="s">
        <v>14</v>
      </c>
      <c r="H62" t="s">
        <v>112</v>
      </c>
    </row>
  </sheetData>
  <mergeCells count="15">
    <mergeCell ref="E11:F11"/>
    <mergeCell ref="B1:I1"/>
    <mergeCell ref="B3:I3"/>
    <mergeCell ref="E8:F8"/>
    <mergeCell ref="E9:F9"/>
    <mergeCell ref="E10:F10"/>
    <mergeCell ref="B24:B25"/>
    <mergeCell ref="C24:I24"/>
    <mergeCell ref="B53:E53"/>
    <mergeCell ref="E12:F12"/>
    <mergeCell ref="E13:F13"/>
    <mergeCell ref="E14:F14"/>
    <mergeCell ref="E15:F15"/>
    <mergeCell ref="E16:F16"/>
    <mergeCell ref="E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INFORME GENERAL</vt:lpstr>
      <vt:lpstr>DETALLE FEBRERO </vt:lpstr>
      <vt:lpstr>INFORME GENERAL (2)</vt:lpstr>
      <vt:lpstr>'DETALLE FEBRERO '!Área_de_impresión</vt:lpstr>
      <vt:lpstr>'INFORME GENERAL'!Área_de_impresión</vt:lpstr>
      <vt:lpstr>'INFORME GENERAL (2)'!Área_de_impresión</vt:lpstr>
      <vt:lpstr>'DETALLE FEBRERO '!Títulos_a_imprimir</vt:lpstr>
    </vt:vector>
  </TitlesOfParts>
  <Company>idipron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Paolav</dc:creator>
  <cp:lastModifiedBy>JOHN.FERNANDEZ</cp:lastModifiedBy>
  <cp:lastPrinted>2019-04-30T15:25:16Z</cp:lastPrinted>
  <dcterms:created xsi:type="dcterms:W3CDTF">2016-05-20T20:35:50Z</dcterms:created>
  <dcterms:modified xsi:type="dcterms:W3CDTF">2019-07-19T15:24:37Z</dcterms:modified>
</cp:coreProperties>
</file>